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юниоры 17-18 1000 м" sheetId="1" r:id="rId1"/>
  </sheets>
  <externalReferences>
    <externalReference r:id="rId2"/>
  </externalReferences>
  <definedNames>
    <definedName name="_xlnm._FilterDatabase" localSheetId="0" hidden="1">'юниоры 17-18 1000 м'!$B$23:$Q$53</definedName>
    <definedName name="_xlnm.Print_Area" localSheetId="0">'юниоры 17-18 1000 м'!$A$1:$S$70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0" i="1" l="1"/>
  <c r="H70" i="1"/>
  <c r="E70" i="1"/>
  <c r="H62" i="1"/>
  <c r="H61" i="1"/>
  <c r="H60" i="1"/>
  <c r="H59" i="1"/>
  <c r="H58" i="1"/>
  <c r="H57" i="1" s="1"/>
  <c r="R53" i="1"/>
  <c r="Q53" i="1"/>
  <c r="N53" i="1"/>
  <c r="O53" i="1" s="1"/>
  <c r="L53" i="1"/>
  <c r="M53" i="1" s="1"/>
  <c r="J53" i="1"/>
  <c r="K53" i="1" s="1"/>
  <c r="I53" i="1"/>
  <c r="F53" i="1"/>
  <c r="E53" i="1"/>
  <c r="D53" i="1"/>
  <c r="C53" i="1"/>
  <c r="R52" i="1"/>
  <c r="Q52" i="1"/>
  <c r="N52" i="1"/>
  <c r="L52" i="1"/>
  <c r="J52" i="1"/>
  <c r="K52" i="1" s="1"/>
  <c r="I52" i="1"/>
  <c r="F52" i="1"/>
  <c r="E52" i="1"/>
  <c r="D52" i="1"/>
  <c r="C52" i="1"/>
  <c r="R51" i="1"/>
  <c r="Q51" i="1"/>
  <c r="N51" i="1"/>
  <c r="O51" i="1" s="1"/>
  <c r="L51" i="1"/>
  <c r="J51" i="1"/>
  <c r="I51" i="1"/>
  <c r="G51" i="1"/>
  <c r="F51" i="1"/>
  <c r="E51" i="1"/>
  <c r="D51" i="1"/>
  <c r="C51" i="1"/>
  <c r="R50" i="1"/>
  <c r="Q50" i="1"/>
  <c r="N50" i="1"/>
  <c r="O50" i="1" s="1"/>
  <c r="L50" i="1"/>
  <c r="M50" i="1" s="1"/>
  <c r="K50" i="1"/>
  <c r="J50" i="1"/>
  <c r="I50" i="1"/>
  <c r="F50" i="1"/>
  <c r="E50" i="1"/>
  <c r="D50" i="1"/>
  <c r="C50" i="1"/>
  <c r="R49" i="1"/>
  <c r="Q49" i="1"/>
  <c r="N49" i="1"/>
  <c r="L49" i="1"/>
  <c r="M49" i="1" s="1"/>
  <c r="J49" i="1"/>
  <c r="K49" i="1" s="1"/>
  <c r="I49" i="1"/>
  <c r="G49" i="1"/>
  <c r="F49" i="1"/>
  <c r="E49" i="1"/>
  <c r="D49" i="1"/>
  <c r="C49" i="1"/>
  <c r="R48" i="1"/>
  <c r="Q48" i="1"/>
  <c r="O48" i="1"/>
  <c r="N48" i="1"/>
  <c r="L48" i="1"/>
  <c r="J48" i="1"/>
  <c r="K48" i="1" s="1"/>
  <c r="I48" i="1"/>
  <c r="F48" i="1"/>
  <c r="E48" i="1"/>
  <c r="D48" i="1"/>
  <c r="C48" i="1"/>
  <c r="R47" i="1"/>
  <c r="Q47" i="1"/>
  <c r="N47" i="1"/>
  <c r="O47" i="1" s="1"/>
  <c r="M47" i="1"/>
  <c r="L47" i="1"/>
  <c r="J47" i="1"/>
  <c r="I47" i="1"/>
  <c r="G47" i="1"/>
  <c r="F47" i="1"/>
  <c r="E47" i="1"/>
  <c r="D47" i="1"/>
  <c r="C47" i="1"/>
  <c r="R46" i="1"/>
  <c r="Q46" i="1"/>
  <c r="N46" i="1"/>
  <c r="O46" i="1" s="1"/>
  <c r="L46" i="1"/>
  <c r="M46" i="1" s="1"/>
  <c r="K46" i="1"/>
  <c r="J46" i="1"/>
  <c r="I46" i="1"/>
  <c r="G46" i="1"/>
  <c r="F46" i="1"/>
  <c r="E46" i="1"/>
  <c r="D46" i="1"/>
  <c r="C46" i="1"/>
  <c r="R45" i="1"/>
  <c r="Q45" i="1"/>
  <c r="N45" i="1"/>
  <c r="L45" i="1"/>
  <c r="M45" i="1" s="1"/>
  <c r="J45" i="1"/>
  <c r="K45" i="1" s="1"/>
  <c r="I45" i="1"/>
  <c r="G45" i="1"/>
  <c r="F45" i="1"/>
  <c r="E45" i="1"/>
  <c r="D45" i="1"/>
  <c r="C45" i="1"/>
  <c r="R44" i="1"/>
  <c r="Q44" i="1"/>
  <c r="O44" i="1"/>
  <c r="N44" i="1"/>
  <c r="L44" i="1"/>
  <c r="J44" i="1"/>
  <c r="I44" i="1"/>
  <c r="G44" i="1"/>
  <c r="F44" i="1"/>
  <c r="E44" i="1"/>
  <c r="D44" i="1"/>
  <c r="C44" i="1"/>
  <c r="R43" i="1"/>
  <c r="Q43" i="1"/>
  <c r="N43" i="1"/>
  <c r="O43" i="1" s="1"/>
  <c r="M43" i="1"/>
  <c r="L43" i="1"/>
  <c r="J43" i="1"/>
  <c r="I43" i="1"/>
  <c r="G43" i="1"/>
  <c r="F43" i="1"/>
  <c r="E43" i="1"/>
  <c r="D43" i="1"/>
  <c r="C43" i="1"/>
  <c r="R42" i="1"/>
  <c r="Q42" i="1"/>
  <c r="N42" i="1"/>
  <c r="L42" i="1"/>
  <c r="M42" i="1" s="1"/>
  <c r="K42" i="1"/>
  <c r="J42" i="1"/>
  <c r="I42" i="1"/>
  <c r="G42" i="1"/>
  <c r="F42" i="1"/>
  <c r="E42" i="1"/>
  <c r="D42" i="1"/>
  <c r="C42" i="1"/>
  <c r="R41" i="1"/>
  <c r="Q41" i="1"/>
  <c r="O41" i="1"/>
  <c r="N41" i="1"/>
  <c r="L41" i="1"/>
  <c r="J41" i="1"/>
  <c r="K41" i="1" s="1"/>
  <c r="I41" i="1"/>
  <c r="G41" i="1"/>
  <c r="F41" i="1"/>
  <c r="E41" i="1"/>
  <c r="D41" i="1"/>
  <c r="C41" i="1"/>
  <c r="R40" i="1"/>
  <c r="Q40" i="1"/>
  <c r="O40" i="1"/>
  <c r="N40" i="1"/>
  <c r="M40" i="1"/>
  <c r="L40" i="1"/>
  <c r="J40" i="1"/>
  <c r="I40" i="1"/>
  <c r="G40" i="1"/>
  <c r="F40" i="1"/>
  <c r="E40" i="1"/>
  <c r="D40" i="1"/>
  <c r="C40" i="1"/>
  <c r="R39" i="1"/>
  <c r="Q39" i="1"/>
  <c r="N39" i="1"/>
  <c r="O39" i="1" s="1"/>
  <c r="M39" i="1"/>
  <c r="L39" i="1"/>
  <c r="K39" i="1"/>
  <c r="J39" i="1"/>
  <c r="I39" i="1"/>
  <c r="G39" i="1"/>
  <c r="F39" i="1"/>
  <c r="E39" i="1"/>
  <c r="D39" i="1"/>
  <c r="C39" i="1"/>
  <c r="R38" i="1"/>
  <c r="Q38" i="1"/>
  <c r="N38" i="1"/>
  <c r="L38" i="1"/>
  <c r="M38" i="1" s="1"/>
  <c r="K38" i="1"/>
  <c r="J38" i="1"/>
  <c r="I38" i="1"/>
  <c r="G38" i="1"/>
  <c r="F38" i="1"/>
  <c r="E38" i="1"/>
  <c r="D38" i="1"/>
  <c r="C38" i="1"/>
  <c r="R37" i="1"/>
  <c r="Q37" i="1"/>
  <c r="O37" i="1"/>
  <c r="N37" i="1"/>
  <c r="L37" i="1"/>
  <c r="J37" i="1"/>
  <c r="K37" i="1" s="1"/>
  <c r="I37" i="1"/>
  <c r="G37" i="1"/>
  <c r="F37" i="1"/>
  <c r="E37" i="1"/>
  <c r="D37" i="1"/>
  <c r="C37" i="1"/>
  <c r="R36" i="1"/>
  <c r="Q36" i="1"/>
  <c r="O36" i="1"/>
  <c r="N36" i="1"/>
  <c r="M36" i="1"/>
  <c r="L36" i="1"/>
  <c r="J36" i="1"/>
  <c r="I36" i="1"/>
  <c r="G36" i="1"/>
  <c r="F36" i="1"/>
  <c r="E36" i="1"/>
  <c r="D36" i="1"/>
  <c r="C36" i="1"/>
  <c r="R35" i="1"/>
  <c r="Q35" i="1"/>
  <c r="N35" i="1"/>
  <c r="O35" i="1" s="1"/>
  <c r="M35" i="1"/>
  <c r="L35" i="1"/>
  <c r="K35" i="1"/>
  <c r="J35" i="1"/>
  <c r="I35" i="1"/>
  <c r="G35" i="1"/>
  <c r="F35" i="1"/>
  <c r="E35" i="1"/>
  <c r="D35" i="1"/>
  <c r="C35" i="1"/>
  <c r="R34" i="1"/>
  <c r="Q34" i="1"/>
  <c r="N34" i="1"/>
  <c r="L34" i="1"/>
  <c r="M34" i="1" s="1"/>
  <c r="K34" i="1"/>
  <c r="J34" i="1"/>
  <c r="I34" i="1"/>
  <c r="G34" i="1"/>
  <c r="F34" i="1"/>
  <c r="E34" i="1"/>
  <c r="D34" i="1"/>
  <c r="C34" i="1"/>
  <c r="R33" i="1"/>
  <c r="Q33" i="1"/>
  <c r="O33" i="1"/>
  <c r="N33" i="1"/>
  <c r="L33" i="1"/>
  <c r="J33" i="1"/>
  <c r="K33" i="1" s="1"/>
  <c r="I33" i="1"/>
  <c r="G33" i="1"/>
  <c r="F33" i="1"/>
  <c r="E33" i="1"/>
  <c r="D33" i="1"/>
  <c r="C33" i="1"/>
  <c r="R32" i="1"/>
  <c r="Q32" i="1"/>
  <c r="O32" i="1"/>
  <c r="N32" i="1"/>
  <c r="M32" i="1"/>
  <c r="L32" i="1"/>
  <c r="J32" i="1"/>
  <c r="I32" i="1"/>
  <c r="F32" i="1"/>
  <c r="E32" i="1"/>
  <c r="D32" i="1"/>
  <c r="C32" i="1"/>
  <c r="R31" i="1"/>
  <c r="Q31" i="1"/>
  <c r="N31" i="1"/>
  <c r="O31" i="1" s="1"/>
  <c r="M31" i="1"/>
  <c r="L31" i="1"/>
  <c r="K31" i="1"/>
  <c r="J31" i="1"/>
  <c r="I31" i="1"/>
  <c r="G31" i="1"/>
  <c r="F31" i="1"/>
  <c r="E31" i="1"/>
  <c r="D31" i="1"/>
  <c r="C31" i="1"/>
  <c r="R30" i="1"/>
  <c r="Q30" i="1"/>
  <c r="N30" i="1"/>
  <c r="L30" i="1"/>
  <c r="M30" i="1" s="1"/>
  <c r="K30" i="1"/>
  <c r="J30" i="1"/>
  <c r="I30" i="1"/>
  <c r="G30" i="1"/>
  <c r="F30" i="1"/>
  <c r="E30" i="1"/>
  <c r="D30" i="1"/>
  <c r="C30" i="1"/>
  <c r="R29" i="1"/>
  <c r="Q29" i="1"/>
  <c r="O29" i="1"/>
  <c r="N29" i="1"/>
  <c r="L29" i="1"/>
  <c r="J29" i="1"/>
  <c r="K29" i="1" s="1"/>
  <c r="I29" i="1"/>
  <c r="G29" i="1"/>
  <c r="F29" i="1"/>
  <c r="E29" i="1"/>
  <c r="D29" i="1"/>
  <c r="C29" i="1"/>
  <c r="R28" i="1"/>
  <c r="Q28" i="1"/>
  <c r="O28" i="1"/>
  <c r="N28" i="1"/>
  <c r="M28" i="1"/>
  <c r="L28" i="1"/>
  <c r="J28" i="1"/>
  <c r="I28" i="1"/>
  <c r="G28" i="1"/>
  <c r="F28" i="1"/>
  <c r="E28" i="1"/>
  <c r="D28" i="1"/>
  <c r="C28" i="1"/>
  <c r="R27" i="1"/>
  <c r="Q27" i="1"/>
  <c r="N27" i="1"/>
  <c r="O52" i="1" s="1"/>
  <c r="M27" i="1"/>
  <c r="L27" i="1"/>
  <c r="K27" i="1"/>
  <c r="J27" i="1"/>
  <c r="I27" i="1"/>
  <c r="G27" i="1"/>
  <c r="F27" i="1"/>
  <c r="E27" i="1"/>
  <c r="D27" i="1"/>
  <c r="C27" i="1"/>
  <c r="R26" i="1"/>
  <c r="Q26" i="1"/>
  <c r="N26" i="1"/>
  <c r="L26" i="1"/>
  <c r="M51" i="1" s="1"/>
  <c r="K26" i="1"/>
  <c r="J26" i="1"/>
  <c r="I26" i="1"/>
  <c r="G26" i="1"/>
  <c r="F26" i="1"/>
  <c r="E26" i="1"/>
  <c r="D26" i="1"/>
  <c r="C26" i="1"/>
  <c r="R25" i="1"/>
  <c r="Q25" i="1"/>
  <c r="O25" i="1"/>
  <c r="N25" i="1"/>
  <c r="L25" i="1"/>
  <c r="J25" i="1"/>
  <c r="K47" i="1" s="1"/>
  <c r="I25" i="1"/>
  <c r="G25" i="1"/>
  <c r="F25" i="1"/>
  <c r="E25" i="1"/>
  <c r="D25" i="1"/>
  <c r="C25" i="1"/>
  <c r="R24" i="1"/>
  <c r="Q24" i="1"/>
  <c r="O24" i="1"/>
  <c r="N24" i="1"/>
  <c r="O42" i="1" s="1"/>
  <c r="M24" i="1"/>
  <c r="L24" i="1"/>
  <c r="M52" i="1" s="1"/>
  <c r="J24" i="1"/>
  <c r="K51" i="1" s="1"/>
  <c r="I24" i="1"/>
  <c r="G24" i="1"/>
  <c r="F24" i="1"/>
  <c r="K59" i="1" s="1"/>
  <c r="E24" i="1"/>
  <c r="D24" i="1"/>
  <c r="C24" i="1"/>
  <c r="K60" i="1" l="1"/>
  <c r="M26" i="1"/>
  <c r="O27" i="1"/>
  <c r="K56" i="1"/>
  <c r="K25" i="1"/>
  <c r="K57" i="1"/>
  <c r="K61" i="1"/>
  <c r="M25" i="1"/>
  <c r="O26" i="1"/>
  <c r="K28" i="1"/>
  <c r="K32" i="1"/>
  <c r="M33" i="1"/>
  <c r="O34" i="1"/>
  <c r="K36" i="1"/>
  <c r="M37" i="1"/>
  <c r="O38" i="1"/>
  <c r="K40" i="1"/>
  <c r="M41" i="1"/>
  <c r="K44" i="1"/>
  <c r="K24" i="1"/>
  <c r="M29" i="1"/>
  <c r="O30" i="1"/>
  <c r="K58" i="1"/>
  <c r="K62" i="1"/>
  <c r="K43" i="1"/>
  <c r="M44" i="1"/>
  <c r="O45" i="1"/>
  <c r="M48" i="1"/>
  <c r="O49" i="1"/>
</calcChain>
</file>

<file path=xl/sharedStrings.xml><?xml version="1.0" encoding="utf-8"?>
<sst xmlns="http://schemas.openxmlformats.org/spreadsheetml/2006/main" count="72" uniqueCount="65">
  <si>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</si>
  <si>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</si>
  <si>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</si>
  <si>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</si>
  <si>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</si>
  <si>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</si>
  <si>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гит с места 1000 м</t>
  </si>
  <si>
    <t>Юниоры 17-18 лет</t>
  </si>
  <si>
    <t>МЕСТО ПРОВЕДЕНИЯ: г. Санкт-Петербург</t>
  </si>
  <si>
    <t>НАЧАЛО ГОНКИ:</t>
  </si>
  <si>
    <t>№ ВРВС: 0080281811А</t>
  </si>
  <si>
    <t>ДАТА ПРОВЕДЕНИЯ: 12 Июня 2023 года</t>
  </si>
  <si>
    <t>ОКОНЧАНИЕ ГОНКИ:</t>
  </si>
  <si>
    <t>№ ЕКП 2023: 26273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</si>
  <si>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</si>
  <si>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</si>
  <si>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</si>
  <si>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</si>
  <si>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</si>
  <si>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</si>
  <si>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</si>
  <si>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</si>
  <si>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</si>
  <si>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</si>
  <si>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</si>
  <si>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</si>
  <si>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0,250/4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</si>
  <si>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</si>
  <si>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</si>
  <si>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</si>
  <si>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</si>
  <si>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</si>
  <si>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</si>
  <si>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</si>
  <si>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И МЕСТО НА ОТРЕЗКЕ</t>
  </si>
  <si>
    <t>РЕЗУЛЬТАТ</t>
  </si>
  <si>
    <t>СКОРОСТЬ км/ч</t>
  </si>
  <si>
    <t>ВЫПОЛНЕНИЕ НТУ ЕВСК</t>
  </si>
  <si>
    <t>ПРИМЕЧАНИЕ</t>
  </si>
  <si>
    <t>500м</t>
  </si>
  <si>
    <t>0-250м</t>
  </si>
  <si>
    <t>250-500 м</t>
  </si>
  <si>
    <t>500-750 м</t>
  </si>
  <si>
    <t>750-1000 м</t>
  </si>
  <si>
    <t>ПОГОДНЫЕ УСЛОВИЯ</t>
  </si>
  <si>
    <t>Температура: +22</t>
  </si>
  <si>
    <t>Субъектов РФ</t>
  </si>
  <si>
    <t>ЗМС</t>
  </si>
  <si>
    <t>Влажность: 55 %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</si>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</sst>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:ss.00"/>
    <numFmt numFmtId="165" formatCode="0.0"/>
    <numFmt numFmtId="166" formatCode="m:ss.00"/>
    <numFmt numFmtId="167" formatCode="\(0\)"/>
    <numFmt numFmtId="168" formatCode="m:ss.000"/>
    <numFmt numFmtId="169" formatCode="yyyy"/>
  </numFmts>
  <fonts count="16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14" fontId="9" fillId="3" borderId="21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 wrapText="1"/>
    </xf>
    <xf numFmtId="2" fontId="9" fillId="3" borderId="21" xfId="1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9" fillId="3" borderId="27" xfId="1" applyNumberFormat="1" applyFont="1" applyFill="1" applyBorder="1" applyAlignment="1">
      <alignment horizontal="center" vertical="center" wrapText="1"/>
    </xf>
    <xf numFmtId="2" fontId="9" fillId="3" borderId="28" xfId="1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9" fillId="3" borderId="27" xfId="1" applyNumberFormat="1" applyFont="1" applyFill="1" applyBorder="1" applyAlignment="1">
      <alignment horizontal="center" vertical="center" wrapText="1"/>
    </xf>
    <xf numFmtId="2" fontId="9" fillId="3" borderId="28" xfId="1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14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/>
    </xf>
    <xf numFmtId="167" fontId="14" fillId="0" borderId="27" xfId="0" applyNumberFormat="1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47" fontId="0" fillId="0" borderId="0" xfId="0" applyNumberFormat="1"/>
    <xf numFmtId="0" fontId="14" fillId="0" borderId="2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15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6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0" fillId="0" borderId="27" xfId="0" applyBorder="1"/>
    <xf numFmtId="49" fontId="2" fillId="0" borderId="27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361950</xdr:colOff>
      <xdr:row>5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3</xdr:col>
      <xdr:colOff>447675</xdr:colOff>
      <xdr:row>5</xdr:row>
      <xdr:rowOff>76200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6675"/>
          <a:ext cx="1228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533400</xdr:colOff>
      <xdr:row>64</xdr:row>
      <xdr:rowOff>76200</xdr:rowOff>
    </xdr:from>
    <xdr:to>
      <xdr:col>18</xdr:col>
      <xdr:colOff>247650</xdr:colOff>
      <xdr:row>70</xdr:row>
      <xdr:rowOff>57150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5544800"/>
          <a:ext cx="15144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381000</xdr:colOff>
      <xdr:row>63</xdr:row>
      <xdr:rowOff>76200</xdr:rowOff>
    </xdr:from>
    <xdr:to>
      <xdr:col>6</xdr:col>
      <xdr:colOff>685800</xdr:colOff>
      <xdr:row>69</xdr:row>
      <xdr:rowOff>9525</xdr:rowOff>
    </xdr:to>
    <xdr:pic>
      <xdr:nvPicPr>
        <xdr:cNvPr id="5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5354300"/>
          <a:ext cx="990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200025</xdr:colOff>
      <xdr:row>64</xdr:row>
      <xdr:rowOff>152400</xdr:rowOff>
    </xdr:from>
    <xdr:to>
      <xdr:col>13</xdr:col>
      <xdr:colOff>0</xdr:colOff>
      <xdr:row>68</xdr:row>
      <xdr:rowOff>133350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5621000"/>
          <a:ext cx="895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533400</xdr:colOff>
      <xdr:row>0</xdr:row>
      <xdr:rowOff>76200</xdr:rowOff>
    </xdr:from>
    <xdr:to>
      <xdr:col>17</xdr:col>
      <xdr:colOff>666750</xdr:colOff>
      <xdr:row>4</xdr:row>
      <xdr:rowOff>104775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76200"/>
          <a:ext cx="666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медисон  старт жен."/>
      <sheetName val="медисон  старт муж"/>
      <sheetName val="скретч муж.  (4)"/>
      <sheetName val="скретч жен. (3)"/>
      <sheetName val="гит 500 юниорки. (2)"/>
      <sheetName val="гит 500 жен) (2)"/>
      <sheetName val="гит 1000 юниоры. (2)"/>
      <sheetName val="гит 1000 муж (2)"/>
      <sheetName val="юниоры тех 17-18"/>
      <sheetName val="юниоры тех 19-22"/>
      <sheetName val="медисон  старт юниоры"/>
      <sheetName val="медисон  старт юниорки"/>
      <sheetName val="выб муж.  (5)"/>
      <sheetName val="выб жен. (4)"/>
      <sheetName val="список"/>
      <sheetName val="муж скретч"/>
      <sheetName val=" жен скретч (2)"/>
      <sheetName val="муж выб "/>
      <sheetName val="жен выб"/>
      <sheetName val="Гит 500 м юниорки 17-18"/>
      <sheetName val="Гит 500 м жен (3)"/>
      <sheetName val="юниоры 17-18 1000 м"/>
      <sheetName val="юниоры 19-22 1000 м "/>
      <sheetName val="юниоры 17-18 медисон (2)"/>
      <sheetName val="юниорки 17-18 медисон (3)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V71"/>
  <sheetViews>
    <sheetView tabSelected="1" zoomScaleNormal="100" workbookViewId="0">
      <selection activeCell="AB46" sqref="AA46:AB46"/>
    </sheetView>
  </sheetViews>
  <sheetFormatPr defaultRowHeight="12.75" x14ac:dyDescent="0.2"/>
  <cols>
    <col min="2" max="2" width="6.7109375" customWidth="1"/>
    <col min="3" max="3" width="12.42578125" customWidth="1"/>
    <col min="4" max="4" width="21.28515625" customWidth="1"/>
    <col min="5" max="5" width="11" customWidth="1"/>
    <col min="6" max="6" width="10.28515625" customWidth="1"/>
    <col min="7" max="7" width="24.28515625" customWidth="1"/>
    <col min="8" max="8" width="7" customWidth="1"/>
    <col min="9" max="9" width="5.28515625" customWidth="1"/>
    <col min="10" max="10" width="7.28515625" customWidth="1"/>
    <col min="11" max="11" width="5" customWidth="1"/>
    <col min="12" max="12" width="7.28515625" customWidth="1"/>
    <col min="13" max="13" width="4.140625" customWidth="1"/>
    <col min="14" max="14" width="7" customWidth="1"/>
    <col min="15" max="15" width="5" customWidth="1"/>
    <col min="17" max="17" width="7.42578125" customWidth="1"/>
    <col min="18" max="18" width="10.42578125" customWidth="1"/>
    <col min="19" max="19" width="10.5703125" customWidth="1"/>
  </cols>
  <sheetData>
    <row r="1" spans="1:19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.9000000000000004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8.5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1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9.5" thickTop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 ht="18.75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</row>
    <row r="11" spans="1:19" ht="18.75" x14ac:dyDescent="0.2">
      <c r="A11" s="12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ht="21" x14ac:dyDescent="0.2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</row>
    <row r="13" spans="1:19" ht="15.75" x14ac:dyDescent="0.2">
      <c r="A13" s="18" t="s">
        <v>8</v>
      </c>
      <c r="B13" s="19"/>
      <c r="C13" s="19"/>
      <c r="D13" s="19"/>
      <c r="E13" s="20"/>
      <c r="F13" s="21"/>
      <c r="G13" s="22" t="s">
        <v>9</v>
      </c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5"/>
      <c r="S13" s="26" t="s">
        <v>10</v>
      </c>
    </row>
    <row r="14" spans="1:19" ht="15.75" x14ac:dyDescent="0.2">
      <c r="A14" s="27" t="s">
        <v>11</v>
      </c>
      <c r="B14" s="28"/>
      <c r="C14" s="28"/>
      <c r="D14" s="28"/>
      <c r="E14" s="29"/>
      <c r="F14" s="30"/>
      <c r="G14" s="31" t="s">
        <v>12</v>
      </c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4"/>
      <c r="S14" s="35" t="s">
        <v>13</v>
      </c>
    </row>
    <row r="15" spans="1:19" ht="15" x14ac:dyDescent="0.2">
      <c r="A15" s="36" t="s">
        <v>14</v>
      </c>
      <c r="B15" s="37"/>
      <c r="C15" s="37"/>
      <c r="D15" s="37"/>
      <c r="E15" s="37"/>
      <c r="F15" s="37"/>
      <c r="G15" s="38"/>
      <c r="H15" s="39" t="s">
        <v>15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</row>
    <row r="16" spans="1:19" ht="15" x14ac:dyDescent="0.2">
      <c r="A16" s="42"/>
      <c r="B16" s="43"/>
      <c r="C16" s="43"/>
      <c r="D16" s="44"/>
      <c r="E16" s="45" t="s">
        <v>2</v>
      </c>
      <c r="F16" s="44"/>
      <c r="G16" s="45"/>
      <c r="H16" s="46" t="s">
        <v>16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22" ht="15" x14ac:dyDescent="0.2">
      <c r="A17" s="42" t="s">
        <v>17</v>
      </c>
      <c r="B17" s="43"/>
      <c r="C17" s="43"/>
      <c r="D17" s="45"/>
      <c r="E17" s="49"/>
      <c r="F17" s="44"/>
      <c r="G17" s="50" t="s">
        <v>18</v>
      </c>
      <c r="H17" s="46" t="s">
        <v>19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</row>
    <row r="18" spans="1:22" ht="15" x14ac:dyDescent="0.2">
      <c r="A18" s="42" t="s">
        <v>20</v>
      </c>
      <c r="B18" s="43"/>
      <c r="C18" s="43"/>
      <c r="D18" s="45"/>
      <c r="E18" s="49"/>
      <c r="F18" s="44"/>
      <c r="G18" s="50" t="s">
        <v>21</v>
      </c>
      <c r="H18" s="46" t="s">
        <v>22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22" ht="16.5" thickBot="1" x14ac:dyDescent="0.25">
      <c r="A19" s="42" t="s">
        <v>23</v>
      </c>
      <c r="B19" s="51"/>
      <c r="C19" s="51"/>
      <c r="D19" s="52"/>
      <c r="E19" s="53"/>
      <c r="F19" s="52"/>
      <c r="G19" s="50" t="s">
        <v>24</v>
      </c>
      <c r="H19" s="54" t="s">
        <v>25</v>
      </c>
      <c r="I19" s="55"/>
      <c r="J19" s="55"/>
      <c r="K19" s="55"/>
      <c r="L19" s="55"/>
      <c r="M19" s="55"/>
      <c r="N19" s="55"/>
      <c r="O19" s="55"/>
      <c r="P19" s="55"/>
      <c r="Q19" s="56">
        <v>1</v>
      </c>
      <c r="S19" s="57" t="s">
        <v>26</v>
      </c>
    </row>
    <row r="20" spans="1:22" ht="14.25" thickTop="1" thickBot="1" x14ac:dyDescent="0.25">
      <c r="A20" s="58"/>
      <c r="B20" s="59"/>
      <c r="C20" s="59"/>
      <c r="D20" s="58"/>
      <c r="E20" s="60"/>
      <c r="F20" s="58"/>
      <c r="G20" s="58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58"/>
      <c r="S20" s="58"/>
    </row>
    <row r="21" spans="1:22" ht="13.5" thickTop="1" x14ac:dyDescent="0.2">
      <c r="A21" s="63" t="s">
        <v>27</v>
      </c>
      <c r="B21" s="64" t="s">
        <v>28</v>
      </c>
      <c r="C21" s="64" t="s">
        <v>29</v>
      </c>
      <c r="D21" s="64" t="s">
        <v>30</v>
      </c>
      <c r="E21" s="65" t="s">
        <v>31</v>
      </c>
      <c r="F21" s="64" t="s">
        <v>32</v>
      </c>
      <c r="G21" s="64" t="s">
        <v>33</v>
      </c>
      <c r="H21" s="66" t="s">
        <v>34</v>
      </c>
      <c r="I21" s="67"/>
      <c r="J21" s="67"/>
      <c r="K21" s="67"/>
      <c r="L21" s="67"/>
      <c r="M21" s="67"/>
      <c r="N21" s="67"/>
      <c r="O21" s="68"/>
      <c r="P21" s="69" t="s">
        <v>35</v>
      </c>
      <c r="Q21" s="70" t="s">
        <v>36</v>
      </c>
      <c r="R21" s="71" t="s">
        <v>37</v>
      </c>
      <c r="S21" s="72" t="s">
        <v>38</v>
      </c>
      <c r="U21" s="73" t="s">
        <v>39</v>
      </c>
      <c r="V21" s="73">
        <v>750</v>
      </c>
    </row>
    <row r="22" spans="1:22" x14ac:dyDescent="0.2">
      <c r="A22" s="74"/>
      <c r="B22" s="75"/>
      <c r="C22" s="75"/>
      <c r="D22" s="75"/>
      <c r="E22" s="76"/>
      <c r="F22" s="75"/>
      <c r="G22" s="75"/>
      <c r="H22" s="77" t="s">
        <v>40</v>
      </c>
      <c r="I22" s="78"/>
      <c r="J22" s="77" t="s">
        <v>41</v>
      </c>
      <c r="K22" s="78"/>
      <c r="L22" s="77" t="s">
        <v>42</v>
      </c>
      <c r="M22" s="78"/>
      <c r="N22" s="77" t="s">
        <v>43</v>
      </c>
      <c r="O22" s="78"/>
      <c r="P22" s="79"/>
      <c r="Q22" s="80"/>
      <c r="R22" s="81"/>
      <c r="S22" s="82"/>
      <c r="U22" s="73"/>
      <c r="V22" s="73"/>
    </row>
    <row r="23" spans="1:22" ht="4.5" customHeight="1" x14ac:dyDescent="0.2">
      <c r="A23" s="83"/>
      <c r="B23" s="84"/>
      <c r="C23" s="84"/>
      <c r="D23" s="84"/>
      <c r="E23" s="85"/>
      <c r="F23" s="84"/>
      <c r="G23" s="84"/>
      <c r="H23" s="86"/>
      <c r="I23" s="87"/>
      <c r="J23" s="86"/>
      <c r="K23" s="87"/>
      <c r="L23" s="86"/>
      <c r="M23" s="87"/>
      <c r="N23" s="86"/>
      <c r="O23" s="87"/>
      <c r="P23" s="88"/>
      <c r="Q23" s="89"/>
      <c r="R23" s="90"/>
      <c r="S23" s="91"/>
      <c r="U23" s="92"/>
      <c r="V23" s="92"/>
    </row>
    <row r="24" spans="1:22" ht="24" customHeight="1" x14ac:dyDescent="0.2">
      <c r="A24" s="93">
        <v>1</v>
      </c>
      <c r="B24" s="94">
        <v>156</v>
      </c>
      <c r="C24" s="95">
        <f>IF(ISBLANK($B24),"",VLOOKUP($B24,[1]список!$B$1:$G$544,2,0))</f>
        <v>10082146957</v>
      </c>
      <c r="D24" s="95" t="str">
        <f>IF(ISBLANK($B24),"",VLOOKUP($B24,[1]список!$B$1:$G$544,3,0))</f>
        <v>Чернявский Игорь</v>
      </c>
      <c r="E24" s="96">
        <f>IF(ISBLANK($B24),"",VLOOKUP($B24,[1]список!$B$1:$G$544,4,0))</f>
        <v>38445</v>
      </c>
      <c r="F24" s="96" t="str">
        <f>IF(ISBLANK($B24),"",VLOOKUP($B24,[1]список!$B$1:$H$544,5,0))</f>
        <v>МС</v>
      </c>
      <c r="G24" s="97" t="str">
        <f>IF(ISBLANK($B24),"",VLOOKUP($B24,[1]список!$B$1:$H$544,6,0))</f>
        <v>Москва</v>
      </c>
      <c r="H24" s="98">
        <v>2.2298611111111111E-4</v>
      </c>
      <c r="I24" s="99">
        <f t="shared" ref="I24:I53" si="0">RANK(H24,H$24:H$53,1)</f>
        <v>4</v>
      </c>
      <c r="J24" s="98">
        <f t="shared" ref="J24:J53" si="1">U24-H24</f>
        <v>1.8547453703703697E-4</v>
      </c>
      <c r="K24" s="99">
        <f t="shared" ref="K24:K53" si="2">RANK(J24,J$24:J$53,1)</f>
        <v>21</v>
      </c>
      <c r="L24" s="98">
        <f t="shared" ref="L24:L53" si="3">V24-U24</f>
        <v>1.8405092592592599E-4</v>
      </c>
      <c r="M24" s="99">
        <f t="shared" ref="M24:M53" si="4">RANK(L24,L$24:L$53,1)</f>
        <v>15</v>
      </c>
      <c r="N24" s="98">
        <f t="shared" ref="N24:N53" si="5">P24-V24</f>
        <v>1.342824074074074E-4</v>
      </c>
      <c r="O24" s="99">
        <f t="shared" ref="O24:O53" si="6">RANK(N24,N$24:N$53,1)</f>
        <v>5</v>
      </c>
      <c r="P24" s="100">
        <v>7.2679398148148147E-4</v>
      </c>
      <c r="Q24" s="101">
        <f t="shared" ref="Q24:Q53" si="7">1/(HOUR(P24)+MINUTE(P24)/60+SECOND(P24)/3600)</f>
        <v>57.142857142857146</v>
      </c>
      <c r="R24" s="102" t="str">
        <f>IF(P24&lt;=TIMEVALUE("1:01,500"),"МСМК",IF(P24&lt;=TIMEVALUE("1:02,500"),"МС",IF(P24&lt;=TIMEVALUE("1:07,500"),"КМС",IF(P24&lt;=TIMEVALUE("1:10,000"),"1 СР",IF(P24&lt;=TIMEVALUE("1:13,500"),"2 СР",IF(P24&lt;=TIMEVALUE("1:18,000"),"3 СР",IF(P24&lt;=TIMEVALUE("1:23,000"),"1 юн.сп.р.")))))))</f>
        <v>КМС</v>
      </c>
      <c r="S24" s="103"/>
      <c r="U24" s="104">
        <v>4.0846064814814808E-4</v>
      </c>
      <c r="V24" s="104">
        <v>5.9251157407407408E-4</v>
      </c>
    </row>
    <row r="25" spans="1:22" ht="24" customHeight="1" x14ac:dyDescent="0.2">
      <c r="A25" s="93">
        <v>2</v>
      </c>
      <c r="B25" s="94">
        <v>163</v>
      </c>
      <c r="C25" s="95">
        <f>IF(ISBLANK($B25),"",VLOOKUP($B25,[1]список!$B$1:$G$544,2,0))</f>
        <v>10112134711</v>
      </c>
      <c r="D25" s="95" t="str">
        <f>IF(ISBLANK($B25),"",VLOOKUP($B25,[1]список!$B$1:$G$544,3,0))</f>
        <v>Самусев Иван</v>
      </c>
      <c r="E25" s="96">
        <f>IF(ISBLANK($B25),"",VLOOKUP($B25,[1]список!$B$1:$G$544,4,0))</f>
        <v>38958</v>
      </c>
      <c r="F25" s="96" t="str">
        <f>IF(ISBLANK($B25),"",VLOOKUP($B25,[1]список!$B$1:$H$544,5,0))</f>
        <v>КМС</v>
      </c>
      <c r="G25" s="97" t="str">
        <f>IF(ISBLANK($B25),"",VLOOKUP($B25,[1]список!$B$1:$H$544,6,0))</f>
        <v>Москва</v>
      </c>
      <c r="H25" s="98">
        <v>2.2723379629629631E-4</v>
      </c>
      <c r="I25" s="99">
        <f t="shared" si="0"/>
        <v>9</v>
      </c>
      <c r="J25" s="98">
        <f t="shared" si="1"/>
        <v>2.2035879629629622E-4</v>
      </c>
      <c r="K25" s="99">
        <f t="shared" si="2"/>
        <v>29</v>
      </c>
      <c r="L25" s="98">
        <f t="shared" si="3"/>
        <v>2.1587962962962956E-4</v>
      </c>
      <c r="M25" s="99">
        <f t="shared" si="4"/>
        <v>29</v>
      </c>
      <c r="N25" s="98">
        <f t="shared" si="5"/>
        <v>6.5682870370370461E-5</v>
      </c>
      <c r="O25" s="99">
        <f t="shared" si="6"/>
        <v>1</v>
      </c>
      <c r="P25" s="100">
        <v>7.2915509259259255E-4</v>
      </c>
      <c r="Q25" s="101">
        <f t="shared" si="7"/>
        <v>57.142857142857146</v>
      </c>
      <c r="R25" s="102" t="str">
        <f t="shared" ref="R25:R51" si="8">IF(P25&lt;=TIMEVALUE("1:01,500"),"МСМК",IF(P25&lt;=TIMEVALUE("1:02,500"),"МС",IF(P25&lt;=TIMEVALUE("1:07,500"),"КМС",IF(P25&lt;=TIMEVALUE("1:10,000"),"1 СР",IF(P25&lt;=TIMEVALUE("1:13,500"),"2 СР",IF(P25&lt;=TIMEVALUE("1:18,000"),"3 СР",IF(P25&lt;=TIMEVALUE("1:23,000"),"1 юн.сп.р.")))))))</f>
        <v>КМС</v>
      </c>
      <c r="S25" s="103"/>
      <c r="U25" s="104">
        <v>4.4759259259259253E-4</v>
      </c>
      <c r="V25" s="104">
        <v>6.6347222222222209E-4</v>
      </c>
    </row>
    <row r="26" spans="1:22" ht="24" customHeight="1" x14ac:dyDescent="0.2">
      <c r="A26" s="93">
        <v>3</v>
      </c>
      <c r="B26" s="94">
        <v>113</v>
      </c>
      <c r="C26" s="95">
        <f>IF(ISBLANK($B26),"",VLOOKUP($B26,[1]список!$B$1:$G$544,2,0))</f>
        <v>10094923271</v>
      </c>
      <c r="D26" s="95" t="str">
        <f>IF(ISBLANK($B26),"",VLOOKUP($B26,[1]список!$B$1:$G$544,3,0))</f>
        <v>Быковский Никита</v>
      </c>
      <c r="E26" s="96">
        <f>IF(ISBLANK($B26),"",VLOOKUP($B26,[1]список!$B$1:$G$544,4,0))</f>
        <v>38917</v>
      </c>
      <c r="F26" s="96" t="str">
        <f>IF(ISBLANK($B26),"",VLOOKUP($B26,[1]список!$B$1:$H$544,5,0))</f>
        <v>КМС</v>
      </c>
      <c r="G26" s="97" t="str">
        <f>IF(ISBLANK($B26),"",VLOOKUP($B26,[1]список!$B$1:$H$544,6,0))</f>
        <v>Тульская область</v>
      </c>
      <c r="H26" s="98">
        <v>2.2211805555555551E-4</v>
      </c>
      <c r="I26" s="99">
        <f t="shared" si="0"/>
        <v>3</v>
      </c>
      <c r="J26" s="98">
        <f t="shared" si="1"/>
        <v>2.2451388888888892E-4</v>
      </c>
      <c r="K26" s="99">
        <f t="shared" si="2"/>
        <v>30</v>
      </c>
      <c r="L26" s="98">
        <f t="shared" si="3"/>
        <v>1.9703703703703707E-4</v>
      </c>
      <c r="M26" s="99">
        <f t="shared" si="4"/>
        <v>23</v>
      </c>
      <c r="N26" s="98">
        <f t="shared" si="5"/>
        <v>9.5983796296296268E-5</v>
      </c>
      <c r="O26" s="99">
        <f t="shared" si="6"/>
        <v>2</v>
      </c>
      <c r="P26" s="100">
        <v>7.3965277777777777E-4</v>
      </c>
      <c r="Q26" s="101">
        <f t="shared" si="7"/>
        <v>56.25</v>
      </c>
      <c r="R26" s="102" t="str">
        <f t="shared" si="8"/>
        <v>КМС</v>
      </c>
      <c r="S26" s="103"/>
      <c r="U26" s="104">
        <v>4.4663194444444443E-4</v>
      </c>
      <c r="V26" s="104">
        <v>6.436689814814815E-4</v>
      </c>
    </row>
    <row r="27" spans="1:22" ht="24" customHeight="1" x14ac:dyDescent="0.2">
      <c r="A27" s="93">
        <v>4</v>
      </c>
      <c r="B27" s="94">
        <v>108</v>
      </c>
      <c r="C27" s="95">
        <f>IF(ISBLANK($B27),"",VLOOKUP($B27,[1]список!$B$1:$G$544,2,0))</f>
        <v>10083104530</v>
      </c>
      <c r="D27" s="95" t="str">
        <f>IF(ISBLANK($B27),"",VLOOKUP($B27,[1]список!$B$1:$G$544,3,0))</f>
        <v>Гирилович Игорь</v>
      </c>
      <c r="E27" s="96">
        <f>IF(ISBLANK($B27),"",VLOOKUP($B27,[1]список!$B$1:$G$544,4,0))</f>
        <v>38427</v>
      </c>
      <c r="F27" s="96" t="str">
        <f>IF(ISBLANK($B27),"",VLOOKUP($B27,[1]список!$B$1:$H$544,5,0))</f>
        <v>КМС</v>
      </c>
      <c r="G27" s="97" t="str">
        <f>IF(ISBLANK($B27),"",VLOOKUP($B27,[1]список!$B$1:$H$544,6,0))</f>
        <v>Тульская область</v>
      </c>
      <c r="H27" s="98">
        <v>2.2531249999999995E-4</v>
      </c>
      <c r="I27" s="99">
        <f t="shared" si="0"/>
        <v>6</v>
      </c>
      <c r="J27" s="98">
        <f t="shared" si="1"/>
        <v>2.1252314814814823E-4</v>
      </c>
      <c r="K27" s="99">
        <f t="shared" si="2"/>
        <v>28</v>
      </c>
      <c r="L27" s="98">
        <f t="shared" si="3"/>
        <v>1.7938657407407405E-4</v>
      </c>
      <c r="M27" s="99">
        <f t="shared" si="4"/>
        <v>11</v>
      </c>
      <c r="N27" s="98">
        <f t="shared" si="5"/>
        <v>1.2901620370370356E-4</v>
      </c>
      <c r="O27" s="99">
        <f t="shared" si="6"/>
        <v>4</v>
      </c>
      <c r="P27" s="100">
        <v>7.462384259259258E-4</v>
      </c>
      <c r="Q27" s="101">
        <f t="shared" si="7"/>
        <v>56.25</v>
      </c>
      <c r="R27" s="102" t="str">
        <f t="shared" si="8"/>
        <v>КМС</v>
      </c>
      <c r="S27" s="103"/>
      <c r="U27" s="104">
        <v>4.3783564814814819E-4</v>
      </c>
      <c r="V27" s="104">
        <v>6.1722222222222224E-4</v>
      </c>
    </row>
    <row r="28" spans="1:22" ht="24" customHeight="1" x14ac:dyDescent="0.2">
      <c r="A28" s="93">
        <v>5</v>
      </c>
      <c r="B28" s="94">
        <v>151</v>
      </c>
      <c r="C28" s="95">
        <f>IF(ISBLANK($B28),"",VLOOKUP($B28,[1]список!$B$1:$G$544,2,0))</f>
        <v>10090182395</v>
      </c>
      <c r="D28" s="95" t="str">
        <f>IF(ISBLANK($B28),"",VLOOKUP($B28,[1]список!$B$1:$G$544,3,0))</f>
        <v>Шукуров Тимур</v>
      </c>
      <c r="E28" s="96">
        <f>IF(ISBLANK($B28),"",VLOOKUP($B28,[1]список!$B$1:$G$544,4,0))</f>
        <v>38552</v>
      </c>
      <c r="F28" s="96" t="str">
        <f>IF(ISBLANK($B28),"",VLOOKUP($B28,[1]список!$B$1:$H$544,5,0))</f>
        <v>МС</v>
      </c>
      <c r="G28" s="97" t="str">
        <f>IF(ISBLANK($B28),"",VLOOKUP($B28,[1]список!$B$1:$H$544,6,0))</f>
        <v>Москва</v>
      </c>
      <c r="H28" s="98">
        <v>2.250462962962963E-4</v>
      </c>
      <c r="I28" s="99">
        <f t="shared" si="0"/>
        <v>5</v>
      </c>
      <c r="J28" s="98">
        <f t="shared" si="1"/>
        <v>1.8879629629629631E-4</v>
      </c>
      <c r="K28" s="99">
        <f t="shared" si="2"/>
        <v>24</v>
      </c>
      <c r="L28" s="98">
        <f t="shared" si="3"/>
        <v>1.8085648148148138E-4</v>
      </c>
      <c r="M28" s="99">
        <f t="shared" si="4"/>
        <v>13</v>
      </c>
      <c r="N28" s="98">
        <f t="shared" si="5"/>
        <v>1.5620370370370376E-4</v>
      </c>
      <c r="O28" s="99">
        <f t="shared" si="6"/>
        <v>9</v>
      </c>
      <c r="P28" s="100">
        <v>7.5090277777777774E-4</v>
      </c>
      <c r="Q28" s="101">
        <f t="shared" si="7"/>
        <v>55.384615384615387</v>
      </c>
      <c r="R28" s="102" t="str">
        <f t="shared" si="8"/>
        <v>КМС</v>
      </c>
      <c r="S28" s="103"/>
      <c r="U28" s="104">
        <v>4.138425925925926E-4</v>
      </c>
      <c r="V28" s="104">
        <v>5.9469907407407399E-4</v>
      </c>
    </row>
    <row r="29" spans="1:22" ht="24" customHeight="1" x14ac:dyDescent="0.2">
      <c r="A29" s="93">
        <v>6</v>
      </c>
      <c r="B29" s="94">
        <v>160</v>
      </c>
      <c r="C29" s="95">
        <f>IF(ISBLANK($B29),"",VLOOKUP($B29,[1]список!$B$1:$G$544,2,0))</f>
        <v>10092179383</v>
      </c>
      <c r="D29" s="95" t="str">
        <f>IF(ISBLANK($B29),"",VLOOKUP($B29,[1]список!$B$1:$G$544,3,0))</f>
        <v>Амелин Даниил</v>
      </c>
      <c r="E29" s="96">
        <f>IF(ISBLANK($B29),"",VLOOKUP($B29,[1]список!$B$1:$G$544,4,0))</f>
        <v>38819</v>
      </c>
      <c r="F29" s="96" t="str">
        <f>IF(ISBLANK($B29),"",VLOOKUP($B29,[1]список!$B$1:$H$544,5,0))</f>
        <v>КМС</v>
      </c>
      <c r="G29" s="97" t="str">
        <f>IF(ISBLANK($B29),"",VLOOKUP($B29,[1]список!$B$1:$H$544,6,0))</f>
        <v>Москва</v>
      </c>
      <c r="H29" s="98">
        <v>2.2793981481481482E-4</v>
      </c>
      <c r="I29" s="99">
        <f t="shared" si="0"/>
        <v>10</v>
      </c>
      <c r="J29" s="98">
        <f t="shared" si="1"/>
        <v>1.7674768518518528E-4</v>
      </c>
      <c r="K29" s="99">
        <f t="shared" si="2"/>
        <v>17</v>
      </c>
      <c r="L29" s="98">
        <f t="shared" si="3"/>
        <v>1.9847222222222217E-4</v>
      </c>
      <c r="M29" s="99">
        <f t="shared" si="4"/>
        <v>25</v>
      </c>
      <c r="N29" s="98">
        <f t="shared" si="5"/>
        <v>1.5414351851851841E-4</v>
      </c>
      <c r="O29" s="99">
        <f t="shared" si="6"/>
        <v>7</v>
      </c>
      <c r="P29" s="100">
        <v>7.5730324074074068E-4</v>
      </c>
      <c r="Q29" s="101">
        <f t="shared" si="7"/>
        <v>55.384615384615387</v>
      </c>
      <c r="R29" s="102" t="str">
        <f t="shared" si="8"/>
        <v>КМС</v>
      </c>
      <c r="S29" s="103"/>
      <c r="U29" s="104">
        <v>4.046875000000001E-4</v>
      </c>
      <c r="V29" s="104">
        <v>6.0315972222222227E-4</v>
      </c>
    </row>
    <row r="30" spans="1:22" ht="24" customHeight="1" x14ac:dyDescent="0.2">
      <c r="A30" s="93">
        <v>7</v>
      </c>
      <c r="B30" s="94">
        <v>153</v>
      </c>
      <c r="C30" s="95">
        <f>IF(ISBLANK($B30),"",VLOOKUP($B30,[1]список!$B$1:$G$544,2,0))</f>
        <v>10090423686</v>
      </c>
      <c r="D30" s="95" t="str">
        <f>IF(ISBLANK($B30),"",VLOOKUP($B30,[1]список!$B$1:$G$544,3,0))</f>
        <v>Шешенин Андрей</v>
      </c>
      <c r="E30" s="96">
        <f>IF(ISBLANK($B30),"",VLOOKUP($B30,[1]список!$B$1:$G$544,4,0))</f>
        <v>38945</v>
      </c>
      <c r="F30" s="96" t="str">
        <f>IF(ISBLANK($B30),"",VLOOKUP($B30,[1]список!$B$1:$H$544,5,0))</f>
        <v>1 СР</v>
      </c>
      <c r="G30" s="97" t="str">
        <f>IF(ISBLANK($B30),"",VLOOKUP($B30,[1]список!$B$1:$H$544,6,0))</f>
        <v>Москва</v>
      </c>
      <c r="H30" s="98">
        <v>2.3437500000000002E-4</v>
      </c>
      <c r="I30" s="99">
        <f t="shared" si="0"/>
        <v>19</v>
      </c>
      <c r="J30" s="98">
        <f t="shared" si="1"/>
        <v>1.642592592592592E-4</v>
      </c>
      <c r="K30" s="99">
        <f t="shared" si="2"/>
        <v>11</v>
      </c>
      <c r="L30" s="98">
        <f t="shared" si="3"/>
        <v>1.8182870370370374E-4</v>
      </c>
      <c r="M30" s="99">
        <f t="shared" si="4"/>
        <v>14</v>
      </c>
      <c r="N30" s="98">
        <f t="shared" si="5"/>
        <v>1.8646990740740744E-4</v>
      </c>
      <c r="O30" s="99">
        <f t="shared" si="6"/>
        <v>14</v>
      </c>
      <c r="P30" s="100">
        <v>7.669328703703704E-4</v>
      </c>
      <c r="Q30" s="101">
        <f t="shared" si="7"/>
        <v>54.545454545454547</v>
      </c>
      <c r="R30" s="102" t="str">
        <f t="shared" si="8"/>
        <v>КМС</v>
      </c>
      <c r="S30" s="103"/>
      <c r="U30" s="104">
        <v>3.9863425925925922E-4</v>
      </c>
      <c r="V30" s="104">
        <v>5.8046296296296296E-4</v>
      </c>
    </row>
    <row r="31" spans="1:22" ht="24" customHeight="1" x14ac:dyDescent="0.2">
      <c r="A31" s="93">
        <v>8</v>
      </c>
      <c r="B31" s="94">
        <v>91</v>
      </c>
      <c r="C31" s="95">
        <f>IF(ISBLANK($B31),"",VLOOKUP($B31,[1]список!$B$1:$G$544,2,0))</f>
        <v>10090420148</v>
      </c>
      <c r="D31" s="95" t="str">
        <f>IF(ISBLANK($B31),"",VLOOKUP($B31,[1]список!$B$1:$G$544,3,0))</f>
        <v>Галиханов Денис</v>
      </c>
      <c r="E31" s="96">
        <f>IF(ISBLANK($B31),"",VLOOKUP($B31,[1]список!$B$1:$G$544,4,0))</f>
        <v>38909</v>
      </c>
      <c r="F31" s="96" t="str">
        <f>IF(ISBLANK($B31),"",VLOOKUP($B31,[1]список!$B$1:$H$544,5,0))</f>
        <v>КМС</v>
      </c>
      <c r="G31" s="97" t="str">
        <f>IF(ISBLANK($B31),"",VLOOKUP($B31,[1]список!$B$1:$H$544,6,0))</f>
        <v>Санкт-Петербург</v>
      </c>
      <c r="H31" s="98">
        <v>2.2591435185185182E-4</v>
      </c>
      <c r="I31" s="99">
        <f t="shared" si="0"/>
        <v>8</v>
      </c>
      <c r="J31" s="98">
        <f t="shared" si="1"/>
        <v>2.0631944444444441E-4</v>
      </c>
      <c r="K31" s="99">
        <f t="shared" si="2"/>
        <v>27</v>
      </c>
      <c r="L31" s="98">
        <f t="shared" si="3"/>
        <v>2.2152777777777785E-4</v>
      </c>
      <c r="M31" s="99">
        <f t="shared" si="4"/>
        <v>30</v>
      </c>
      <c r="N31" s="98">
        <f t="shared" si="5"/>
        <v>1.134027777777777E-4</v>
      </c>
      <c r="O31" s="99">
        <f t="shared" si="6"/>
        <v>3</v>
      </c>
      <c r="P31" s="100">
        <v>7.6716435185185177E-4</v>
      </c>
      <c r="Q31" s="101">
        <f t="shared" si="7"/>
        <v>54.545454545454547</v>
      </c>
      <c r="R31" s="102" t="str">
        <f t="shared" si="8"/>
        <v>КМС</v>
      </c>
      <c r="S31" s="103"/>
      <c r="U31" s="104">
        <v>4.3223379629629623E-4</v>
      </c>
      <c r="V31" s="104">
        <v>6.5376157407407408E-4</v>
      </c>
    </row>
    <row r="32" spans="1:22" ht="24" customHeight="1" x14ac:dyDescent="0.2">
      <c r="A32" s="93">
        <v>9</v>
      </c>
      <c r="B32" s="94">
        <v>71</v>
      </c>
      <c r="C32" s="95">
        <f>IF(ISBLANK($B32),"",VLOOKUP($B32,[1]список!$B$1:$G$544,2,0))</f>
        <v>10110374361</v>
      </c>
      <c r="D32" s="95" t="str">
        <f>IF(ISBLANK($B32),"",VLOOKUP($B32,[1]список!$B$1:$G$544,3,0))</f>
        <v>Голков Михаил</v>
      </c>
      <c r="E32" s="96">
        <f>IF(ISBLANK($B32),"",VLOOKUP($B32,[1]список!$B$1:$G$544,4,0))</f>
        <v>38749</v>
      </c>
      <c r="F32" s="96" t="str">
        <f>IF(ISBLANK($B32),"",VLOOKUP($B32,[1]список!$B$1:$H$544,5,0))</f>
        <v>КМС</v>
      </c>
      <c r="G32" s="97" t="s">
        <v>64</v>
      </c>
      <c r="H32" s="98">
        <v>2.3824074074074077E-4</v>
      </c>
      <c r="I32" s="99">
        <f t="shared" si="0"/>
        <v>21</v>
      </c>
      <c r="J32" s="98">
        <f t="shared" si="1"/>
        <v>1.7013888888888886E-4</v>
      </c>
      <c r="K32" s="99">
        <f t="shared" si="2"/>
        <v>14</v>
      </c>
      <c r="L32" s="98">
        <f t="shared" si="3"/>
        <v>1.8822916666666662E-4</v>
      </c>
      <c r="M32" s="99">
        <f t="shared" si="4"/>
        <v>18</v>
      </c>
      <c r="N32" s="98">
        <f t="shared" si="5"/>
        <v>1.7207175925925929E-4</v>
      </c>
      <c r="O32" s="99">
        <f t="shared" si="6"/>
        <v>12</v>
      </c>
      <c r="P32" s="100">
        <v>7.6868055555555554E-4</v>
      </c>
      <c r="Q32" s="101">
        <f t="shared" si="7"/>
        <v>54.545454545454547</v>
      </c>
      <c r="R32" s="102" t="str">
        <f t="shared" si="8"/>
        <v>КМС</v>
      </c>
      <c r="S32" s="103"/>
      <c r="U32" s="104">
        <v>4.0837962962962963E-4</v>
      </c>
      <c r="V32" s="104">
        <v>5.9660879629629625E-4</v>
      </c>
    </row>
    <row r="33" spans="1:22" ht="24" customHeight="1" x14ac:dyDescent="0.2">
      <c r="A33" s="93">
        <v>10</v>
      </c>
      <c r="B33" s="94">
        <v>127</v>
      </c>
      <c r="C33" s="95">
        <f>IF(ISBLANK($B33),"",VLOOKUP($B33,[1]список!$B$1:$G$544,2,0))</f>
        <v>10101780565</v>
      </c>
      <c r="D33" s="95" t="str">
        <f>IF(ISBLANK($B33),"",VLOOKUP($B33,[1]список!$B$1:$G$544,3,0))</f>
        <v>Водопьянов Александр</v>
      </c>
      <c r="E33" s="96">
        <f>IF(ISBLANK($B33),"",VLOOKUP($B33,[1]список!$B$1:$G$544,4,0))</f>
        <v>38579</v>
      </c>
      <c r="F33" s="96" t="str">
        <f>IF(ISBLANK($B33),"",VLOOKUP($B33,[1]список!$B$1:$H$544,5,0))</f>
        <v>КМС</v>
      </c>
      <c r="G33" s="97" t="str">
        <f>IF(ISBLANK($B33),"",VLOOKUP($B33,[1]список!$B$1:$H$544,6,0))</f>
        <v>Москва</v>
      </c>
      <c r="H33" s="98">
        <v>2.4464120370370368E-4</v>
      </c>
      <c r="I33" s="99">
        <f t="shared" si="0"/>
        <v>27</v>
      </c>
      <c r="J33" s="98">
        <f t="shared" si="1"/>
        <v>1.7542824074074075E-4</v>
      </c>
      <c r="K33" s="99">
        <f t="shared" si="2"/>
        <v>16</v>
      </c>
      <c r="L33" s="98">
        <f t="shared" si="3"/>
        <v>2.0013888888888897E-4</v>
      </c>
      <c r="M33" s="99">
        <f t="shared" si="4"/>
        <v>28</v>
      </c>
      <c r="N33" s="98">
        <f t="shared" si="5"/>
        <v>1.5168981481481479E-4</v>
      </c>
      <c r="O33" s="99">
        <f t="shared" si="6"/>
        <v>6</v>
      </c>
      <c r="P33" s="100">
        <v>7.7189814814814818E-4</v>
      </c>
      <c r="Q33" s="101">
        <f t="shared" si="7"/>
        <v>53.731343283582092</v>
      </c>
      <c r="R33" s="102" t="str">
        <f t="shared" si="8"/>
        <v>КМС</v>
      </c>
      <c r="S33" s="103"/>
      <c r="U33" s="104">
        <v>4.2006944444444443E-4</v>
      </c>
      <c r="V33" s="104">
        <v>6.202083333333334E-4</v>
      </c>
    </row>
    <row r="34" spans="1:22" ht="24" customHeight="1" x14ac:dyDescent="0.2">
      <c r="A34" s="93">
        <v>11</v>
      </c>
      <c r="B34" s="94">
        <v>165</v>
      </c>
      <c r="C34" s="95">
        <f>IF(ISBLANK($B34),"",VLOOKUP($B34,[1]список!$B$1:$G$544,2,0))</f>
        <v>10082410978</v>
      </c>
      <c r="D34" s="95" t="str">
        <f>IF(ISBLANK($B34),"",VLOOKUP($B34,[1]список!$B$1:$G$544,3,0))</f>
        <v xml:space="preserve">Сторожев Александр </v>
      </c>
      <c r="E34" s="96">
        <f>IF(ISBLANK($B34),"",VLOOKUP($B34,[1]список!$B$1:$G$544,4,0))</f>
        <v>38794</v>
      </c>
      <c r="F34" s="96" t="str">
        <f>IF(ISBLANK($B34),"",VLOOKUP($B34,[1]список!$B$1:$H$544,5,0))</f>
        <v>КМС</v>
      </c>
      <c r="G34" s="97" t="str">
        <f>IF(ISBLANK($B34),"",VLOOKUP($B34,[1]список!$B$1:$H$544,6,0))</f>
        <v>Москва</v>
      </c>
      <c r="H34" s="98">
        <v>2.2979166666666666E-4</v>
      </c>
      <c r="I34" s="99">
        <f t="shared" si="0"/>
        <v>11</v>
      </c>
      <c r="J34" s="98">
        <f t="shared" si="1"/>
        <v>1.6243055555555553E-4</v>
      </c>
      <c r="K34" s="99">
        <f t="shared" si="2"/>
        <v>10</v>
      </c>
      <c r="L34" s="98">
        <f t="shared" si="3"/>
        <v>1.7605324074074073E-4</v>
      </c>
      <c r="M34" s="99">
        <f t="shared" si="4"/>
        <v>8</v>
      </c>
      <c r="N34" s="98">
        <f t="shared" si="5"/>
        <v>2.0554398148148157E-4</v>
      </c>
      <c r="O34" s="99">
        <f t="shared" si="6"/>
        <v>15</v>
      </c>
      <c r="P34" s="100">
        <v>7.7381944444444449E-4</v>
      </c>
      <c r="Q34" s="101">
        <f t="shared" si="7"/>
        <v>53.731343283582092</v>
      </c>
      <c r="R34" s="102" t="str">
        <f t="shared" si="8"/>
        <v>КМС</v>
      </c>
      <c r="S34" s="103"/>
      <c r="U34" s="104">
        <v>3.9222222222222219E-4</v>
      </c>
      <c r="V34" s="104">
        <v>5.6827546296296292E-4</v>
      </c>
    </row>
    <row r="35" spans="1:22" ht="24" customHeight="1" x14ac:dyDescent="0.2">
      <c r="A35" s="93">
        <v>12</v>
      </c>
      <c r="B35" s="94">
        <v>161</v>
      </c>
      <c r="C35" s="95">
        <f>IF(ISBLANK($B35),"",VLOOKUP($B35,[1]список!$B$1:$G$544,2,0))</f>
        <v>10100511986</v>
      </c>
      <c r="D35" s="95" t="str">
        <f>IF(ISBLANK($B35),"",VLOOKUP($B35,[1]список!$B$1:$G$544,3,0))</f>
        <v>Афанасьев Никита</v>
      </c>
      <c r="E35" s="96">
        <f>IF(ISBLANK($B35),"",VLOOKUP($B35,[1]список!$B$1:$G$544,4,0))</f>
        <v>38756</v>
      </c>
      <c r="F35" s="96" t="str">
        <f>IF(ISBLANK($B35),"",VLOOKUP($B35,[1]список!$B$1:$H$544,5,0))</f>
        <v>КМС</v>
      </c>
      <c r="G35" s="97" t="str">
        <f>IF(ISBLANK($B35),"",VLOOKUP($B35,[1]список!$B$1:$H$544,6,0))</f>
        <v>Москва</v>
      </c>
      <c r="H35" s="98">
        <v>2.2068287037037041E-4</v>
      </c>
      <c r="I35" s="99">
        <f t="shared" si="0"/>
        <v>1</v>
      </c>
      <c r="J35" s="98">
        <f t="shared" si="1"/>
        <v>2.033912037037037E-4</v>
      </c>
      <c r="K35" s="99">
        <f t="shared" si="2"/>
        <v>26</v>
      </c>
      <c r="L35" s="98">
        <f t="shared" si="3"/>
        <v>1.9814814814814814E-4</v>
      </c>
      <c r="M35" s="99">
        <f t="shared" si="4"/>
        <v>24</v>
      </c>
      <c r="N35" s="98">
        <f t="shared" si="5"/>
        <v>1.5633101851851854E-4</v>
      </c>
      <c r="O35" s="99">
        <f t="shared" si="6"/>
        <v>10</v>
      </c>
      <c r="P35" s="100">
        <v>7.7855324074074079E-4</v>
      </c>
      <c r="Q35" s="101">
        <f t="shared" si="7"/>
        <v>53.731343283582092</v>
      </c>
      <c r="R35" s="102" t="str">
        <f t="shared" si="8"/>
        <v>КМС</v>
      </c>
      <c r="S35" s="103"/>
      <c r="U35" s="104">
        <v>4.2407407407407411E-4</v>
      </c>
      <c r="V35" s="104">
        <v>6.2222222222222225E-4</v>
      </c>
    </row>
    <row r="36" spans="1:22" ht="24" customHeight="1" x14ac:dyDescent="0.2">
      <c r="A36" s="93">
        <v>13</v>
      </c>
      <c r="B36" s="94">
        <v>146</v>
      </c>
      <c r="C36" s="95">
        <f>IF(ISBLANK($B36),"",VLOOKUP($B36,[1]список!$B$1:$G$544,2,0))</f>
        <v>10103549100</v>
      </c>
      <c r="D36" s="95" t="str">
        <f>IF(ISBLANK($B36),"",VLOOKUP($B36,[1]список!$B$1:$G$544,3,0))</f>
        <v>Григорьев Платон</v>
      </c>
      <c r="E36" s="96">
        <f>IF(ISBLANK($B36),"",VLOOKUP($B36,[1]список!$B$1:$G$544,4,0))</f>
        <v>38410</v>
      </c>
      <c r="F36" s="96" t="str">
        <f>IF(ISBLANK($B36),"",VLOOKUP($B36,[1]список!$B$1:$H$544,5,0))</f>
        <v>МС</v>
      </c>
      <c r="G36" s="97" t="str">
        <f>IF(ISBLANK($B36),"",VLOOKUP($B36,[1]список!$B$1:$H$544,6,0))</f>
        <v>Москва</v>
      </c>
      <c r="H36" s="98">
        <v>2.3275462962962963E-4</v>
      </c>
      <c r="I36" s="99">
        <f t="shared" si="0"/>
        <v>16</v>
      </c>
      <c r="J36" s="98">
        <f t="shared" si="1"/>
        <v>1.4559027777777774E-4</v>
      </c>
      <c r="K36" s="99">
        <f t="shared" si="2"/>
        <v>5</v>
      </c>
      <c r="L36" s="98">
        <f t="shared" si="3"/>
        <v>1.6518518518518515E-4</v>
      </c>
      <c r="M36" s="99">
        <f t="shared" si="4"/>
        <v>1</v>
      </c>
      <c r="N36" s="98">
        <f t="shared" si="5"/>
        <v>2.3793981481481496E-4</v>
      </c>
      <c r="O36" s="99">
        <f t="shared" si="6"/>
        <v>22</v>
      </c>
      <c r="P36" s="100">
        <v>7.8146990740740748E-4</v>
      </c>
      <c r="Q36" s="101">
        <f t="shared" si="7"/>
        <v>52.941176470588232</v>
      </c>
      <c r="R36" s="102" t="str">
        <f t="shared" si="8"/>
        <v>1 СР</v>
      </c>
      <c r="S36" s="103"/>
      <c r="U36" s="104">
        <v>3.7834490740740737E-4</v>
      </c>
      <c r="V36" s="104">
        <v>5.4353009259259252E-4</v>
      </c>
    </row>
    <row r="37" spans="1:22" ht="24" customHeight="1" x14ac:dyDescent="0.2">
      <c r="A37" s="93">
        <v>14</v>
      </c>
      <c r="B37" s="94">
        <v>194</v>
      </c>
      <c r="C37" s="95">
        <f>IF(ISBLANK($B37),"",VLOOKUP($B37,[1]список!$B$1:$G$544,2,0))</f>
        <v>10084268530</v>
      </c>
      <c r="D37" s="95" t="str">
        <f>IF(ISBLANK($B37),"",VLOOKUP($B37,[1]список!$B$1:$G$544,3,0))</f>
        <v>Придатченко Егор</v>
      </c>
      <c r="E37" s="96">
        <f>IF(ISBLANK($B37),"",VLOOKUP($B37,[1]список!$B$1:$G$544,4,0))</f>
        <v>38954</v>
      </c>
      <c r="F37" s="96" t="str">
        <f>IF(ISBLANK($B37),"",VLOOKUP($B37,[1]список!$B$1:$H$544,5,0))</f>
        <v>КМС</v>
      </c>
      <c r="G37" s="97" t="str">
        <f>IF(ISBLANK($B37),"",VLOOKUP($B37,[1]список!$B$1:$H$544,6,0))</f>
        <v>Омская область</v>
      </c>
      <c r="H37" s="98">
        <v>2.4451388888888889E-4</v>
      </c>
      <c r="I37" s="99">
        <f t="shared" si="0"/>
        <v>26</v>
      </c>
      <c r="J37" s="98">
        <f t="shared" si="1"/>
        <v>1.8368055555555553E-4</v>
      </c>
      <c r="K37" s="99">
        <f t="shared" si="2"/>
        <v>20</v>
      </c>
      <c r="L37" s="98">
        <f t="shared" si="3"/>
        <v>1.9937500000000006E-4</v>
      </c>
      <c r="M37" s="99">
        <f t="shared" si="4"/>
        <v>27</v>
      </c>
      <c r="N37" s="98">
        <f t="shared" si="5"/>
        <v>1.5531250000000007E-4</v>
      </c>
      <c r="O37" s="99">
        <f t="shared" si="6"/>
        <v>8</v>
      </c>
      <c r="P37" s="100">
        <v>7.8288194444444455E-4</v>
      </c>
      <c r="Q37" s="101">
        <f t="shared" si="7"/>
        <v>52.941176470588232</v>
      </c>
      <c r="R37" s="102" t="str">
        <f t="shared" si="8"/>
        <v>1 СР</v>
      </c>
      <c r="S37" s="103"/>
      <c r="U37" s="104">
        <v>4.2819444444444442E-4</v>
      </c>
      <c r="V37" s="104">
        <v>6.2756944444444449E-4</v>
      </c>
    </row>
    <row r="38" spans="1:22" ht="24" customHeight="1" x14ac:dyDescent="0.2">
      <c r="A38" s="93">
        <v>15</v>
      </c>
      <c r="B38" s="94">
        <v>145</v>
      </c>
      <c r="C38" s="95">
        <f>IF(ISBLANK($B38),"",VLOOKUP($B38,[1]список!$B$1:$G$544,2,0))</f>
        <v>10101332446</v>
      </c>
      <c r="D38" s="95" t="str">
        <f>IF(ISBLANK($B38),"",VLOOKUP($B38,[1]список!$B$1:$G$544,3,0))</f>
        <v>Юдин Никита</v>
      </c>
      <c r="E38" s="96">
        <f>IF(ISBLANK($B38),"",VLOOKUP($B38,[1]список!$B$1:$G$544,4,0))</f>
        <v>38409</v>
      </c>
      <c r="F38" s="96" t="str">
        <f>IF(ISBLANK($B38),"",VLOOKUP($B38,[1]список!$B$1:$H$544,5,0))</f>
        <v>КМС</v>
      </c>
      <c r="G38" s="97" t="str">
        <f>IF(ISBLANK($B38),"",VLOOKUP($B38,[1]список!$B$1:$H$544,6,0))</f>
        <v>Москва</v>
      </c>
      <c r="H38" s="98">
        <v>2.2091435185185183E-4</v>
      </c>
      <c r="I38" s="99">
        <f t="shared" si="0"/>
        <v>2</v>
      </c>
      <c r="J38" s="98">
        <f t="shared" si="1"/>
        <v>1.8583333333333334E-4</v>
      </c>
      <c r="K38" s="99">
        <f t="shared" si="2"/>
        <v>22</v>
      </c>
      <c r="L38" s="98">
        <f t="shared" si="3"/>
        <v>1.9053240740740744E-4</v>
      </c>
      <c r="M38" s="99">
        <f t="shared" si="4"/>
        <v>20</v>
      </c>
      <c r="N38" s="98">
        <f t="shared" si="5"/>
        <v>1.8562500000000013E-4</v>
      </c>
      <c r="O38" s="99">
        <f t="shared" si="6"/>
        <v>13</v>
      </c>
      <c r="P38" s="100">
        <v>7.8290509259259275E-4</v>
      </c>
      <c r="Q38" s="101">
        <f t="shared" si="7"/>
        <v>52.941176470588232</v>
      </c>
      <c r="R38" s="102" t="str">
        <f t="shared" si="8"/>
        <v>1 СР</v>
      </c>
      <c r="S38" s="103"/>
      <c r="U38" s="104">
        <v>4.0674768518518517E-4</v>
      </c>
      <c r="V38" s="104">
        <v>5.9728009259259261E-4</v>
      </c>
    </row>
    <row r="39" spans="1:22" ht="24" customHeight="1" x14ac:dyDescent="0.2">
      <c r="A39" s="93">
        <v>16</v>
      </c>
      <c r="B39" s="94">
        <v>188</v>
      </c>
      <c r="C39" s="95">
        <f>IF(ISBLANK($B39),"",VLOOKUP($B39,[1]список!$B$1:$G$544,2,0))</f>
        <v>10077480752</v>
      </c>
      <c r="D39" s="95" t="str">
        <f>IF(ISBLANK($B39),"",VLOOKUP($B39,[1]список!$B$1:$G$544,3,0))</f>
        <v>Буньков Максим</v>
      </c>
      <c r="E39" s="96">
        <f>IF(ISBLANK($B39),"",VLOOKUP($B39,[1]список!$B$1:$G$544,4,0))</f>
        <v>38586</v>
      </c>
      <c r="F39" s="96" t="str">
        <f>IF(ISBLANK($B39),"",VLOOKUP($B39,[1]список!$B$1:$H$544,5,0))</f>
        <v>2 СР</v>
      </c>
      <c r="G39" s="97" t="str">
        <f>IF(ISBLANK($B39),"",VLOOKUP($B39,[1]список!$B$1:$H$544,6,0))</f>
        <v>Омская область</v>
      </c>
      <c r="H39" s="98">
        <v>2.3482638888888891E-4</v>
      </c>
      <c r="I39" s="99">
        <f t="shared" si="0"/>
        <v>20</v>
      </c>
      <c r="J39" s="98">
        <f t="shared" si="1"/>
        <v>1.8966435185185183E-4</v>
      </c>
      <c r="K39" s="99">
        <f t="shared" si="2"/>
        <v>25</v>
      </c>
      <c r="L39" s="98">
        <f t="shared" si="3"/>
        <v>1.9912037037037039E-4</v>
      </c>
      <c r="M39" s="99">
        <f t="shared" si="4"/>
        <v>26</v>
      </c>
      <c r="N39" s="98">
        <f t="shared" si="5"/>
        <v>1.6675925925925907E-4</v>
      </c>
      <c r="O39" s="99">
        <f t="shared" si="6"/>
        <v>11</v>
      </c>
      <c r="P39" s="100">
        <v>7.9037037037037021E-4</v>
      </c>
      <c r="Q39" s="101">
        <f t="shared" si="7"/>
        <v>52.941176470588232</v>
      </c>
      <c r="R39" s="102" t="str">
        <f t="shared" si="8"/>
        <v>1 СР</v>
      </c>
      <c r="S39" s="103"/>
      <c r="U39" s="104">
        <v>4.2449074074074074E-4</v>
      </c>
      <c r="V39" s="104">
        <v>6.2361111111111113E-4</v>
      </c>
    </row>
    <row r="40" spans="1:22" ht="24" customHeight="1" x14ac:dyDescent="0.2">
      <c r="A40" s="93">
        <v>17</v>
      </c>
      <c r="B40" s="94">
        <v>166</v>
      </c>
      <c r="C40" s="95">
        <f>IF(ISBLANK($B40),"",VLOOKUP($B40,[1]список!$B$1:$G$544,2,0))</f>
        <v>10104278519</v>
      </c>
      <c r="D40" s="95" t="str">
        <f>IF(ISBLANK($B40),"",VLOOKUP($B40,[1]список!$B$1:$G$544,3,0))</f>
        <v>Злотко Иван</v>
      </c>
      <c r="E40" s="96">
        <f>IF(ISBLANK($B40),"",VLOOKUP($B40,[1]список!$B$1:$G$544,4,0))</f>
        <v>38874</v>
      </c>
      <c r="F40" s="96" t="str">
        <f>IF(ISBLANK($B40),"",VLOOKUP($B40,[1]список!$B$1:$H$544,5,0))</f>
        <v>КМС</v>
      </c>
      <c r="G40" s="97" t="str">
        <f>IF(ISBLANK($B40),"",VLOOKUP($B40,[1]список!$B$1:$H$544,6,0))</f>
        <v>Москва</v>
      </c>
      <c r="H40" s="98">
        <v>2.3991898148148147E-4</v>
      </c>
      <c r="I40" s="99">
        <f t="shared" si="0"/>
        <v>22</v>
      </c>
      <c r="J40" s="98">
        <f t="shared" si="1"/>
        <v>1.643287037037037E-4</v>
      </c>
      <c r="K40" s="99">
        <f t="shared" si="2"/>
        <v>12</v>
      </c>
      <c r="L40" s="98">
        <f t="shared" si="3"/>
        <v>1.7427083333333341E-4</v>
      </c>
      <c r="M40" s="99">
        <f t="shared" si="4"/>
        <v>6</v>
      </c>
      <c r="N40" s="98">
        <f t="shared" si="5"/>
        <v>2.1206018518518525E-4</v>
      </c>
      <c r="O40" s="99">
        <f t="shared" si="6"/>
        <v>16</v>
      </c>
      <c r="P40" s="100">
        <v>7.9057870370370382E-4</v>
      </c>
      <c r="Q40" s="101">
        <f t="shared" si="7"/>
        <v>52.941176470588232</v>
      </c>
      <c r="R40" s="102" t="str">
        <f t="shared" si="8"/>
        <v>1 СР</v>
      </c>
      <c r="S40" s="103"/>
      <c r="U40" s="104">
        <v>4.0424768518518517E-4</v>
      </c>
      <c r="V40" s="104">
        <v>5.7851851851851857E-4</v>
      </c>
    </row>
    <row r="41" spans="1:22" ht="24" customHeight="1" x14ac:dyDescent="0.2">
      <c r="A41" s="93">
        <v>18</v>
      </c>
      <c r="B41" s="94">
        <v>187</v>
      </c>
      <c r="C41" s="95">
        <f>IF(ISBLANK($B41),"",VLOOKUP($B41,[1]список!$B$1:$G$544,2,0))</f>
        <v>10091962953</v>
      </c>
      <c r="D41" s="95" t="str">
        <f>IF(ISBLANK($B41),"",VLOOKUP($B41,[1]список!$B$1:$G$544,3,0))</f>
        <v>Козубенко Алексей</v>
      </c>
      <c r="E41" s="96">
        <f>IF(ISBLANK($B41),"",VLOOKUP($B41,[1]список!$B$1:$G$544,4,0))</f>
        <v>38364</v>
      </c>
      <c r="F41" s="96" t="str">
        <f>IF(ISBLANK($B41),"",VLOOKUP($B41,[1]список!$B$1:$H$544,5,0))</f>
        <v>КМС</v>
      </c>
      <c r="G41" s="97" t="str">
        <f>IF(ISBLANK($B41),"",VLOOKUP($B41,[1]список!$B$1:$H$544,6,0))</f>
        <v>Омская область</v>
      </c>
      <c r="H41" s="98">
        <v>2.5101851851851853E-4</v>
      </c>
      <c r="I41" s="99">
        <f t="shared" si="0"/>
        <v>28</v>
      </c>
      <c r="J41" s="98">
        <f t="shared" si="1"/>
        <v>1.5640046296296295E-4</v>
      </c>
      <c r="K41" s="99">
        <f t="shared" si="2"/>
        <v>8</v>
      </c>
      <c r="L41" s="98">
        <f t="shared" si="3"/>
        <v>1.7434027777777771E-4</v>
      </c>
      <c r="M41" s="99">
        <f t="shared" si="4"/>
        <v>7</v>
      </c>
      <c r="N41" s="98">
        <f t="shared" si="5"/>
        <v>2.1873842592592604E-4</v>
      </c>
      <c r="O41" s="99">
        <f t="shared" si="6"/>
        <v>17</v>
      </c>
      <c r="P41" s="100">
        <v>8.0049768518518523E-4</v>
      </c>
      <c r="Q41" s="101">
        <f t="shared" si="7"/>
        <v>52.173913043478265</v>
      </c>
      <c r="R41" s="102" t="str">
        <f t="shared" si="8"/>
        <v>1 СР</v>
      </c>
      <c r="S41" s="103"/>
      <c r="U41" s="104">
        <v>4.0741898148148148E-4</v>
      </c>
      <c r="V41" s="104">
        <v>5.8175925925925919E-4</v>
      </c>
    </row>
    <row r="42" spans="1:22" ht="24" customHeight="1" x14ac:dyDescent="0.2">
      <c r="A42" s="93">
        <v>19</v>
      </c>
      <c r="B42" s="94">
        <v>152</v>
      </c>
      <c r="C42" s="95">
        <f>IF(ISBLANK($B42),"",VLOOKUP($B42,[1]список!$B$1:$G$544,2,0))</f>
        <v>10058292233</v>
      </c>
      <c r="D42" s="95" t="str">
        <f>IF(ISBLANK($B42),"",VLOOKUP($B42,[1]список!$B$1:$G$544,3,0))</f>
        <v>Кислицин Николай</v>
      </c>
      <c r="E42" s="96">
        <f>IF(ISBLANK($B42),"",VLOOKUP($B42,[1]список!$B$1:$G$544,4,0))</f>
        <v>38899</v>
      </c>
      <c r="F42" s="96" t="str">
        <f>IF(ISBLANK($B42),"",VLOOKUP($B42,[1]список!$B$1:$H$544,5,0))</f>
        <v>1 СР</v>
      </c>
      <c r="G42" s="97" t="str">
        <f>IF(ISBLANK($B42),"",VLOOKUP($B42,[1]список!$B$1:$H$544,6,0))</f>
        <v>Москва</v>
      </c>
      <c r="H42" s="98">
        <v>2.3306712962962962E-4</v>
      </c>
      <c r="I42" s="99">
        <f t="shared" si="0"/>
        <v>17</v>
      </c>
      <c r="J42" s="98">
        <f t="shared" si="1"/>
        <v>1.5276620370370368E-4</v>
      </c>
      <c r="K42" s="99">
        <f t="shared" si="2"/>
        <v>7</v>
      </c>
      <c r="L42" s="98">
        <f t="shared" si="3"/>
        <v>1.6590277777777784E-4</v>
      </c>
      <c r="M42" s="99">
        <f t="shared" si="4"/>
        <v>2</v>
      </c>
      <c r="N42" s="98">
        <f t="shared" si="5"/>
        <v>2.5364583333333337E-4</v>
      </c>
      <c r="O42" s="99">
        <f t="shared" si="6"/>
        <v>24</v>
      </c>
      <c r="P42" s="100">
        <v>8.053819444444445E-4</v>
      </c>
      <c r="Q42" s="101">
        <f t="shared" si="7"/>
        <v>51.428571428571431</v>
      </c>
      <c r="R42" s="102" t="str">
        <f t="shared" si="8"/>
        <v>1 СР</v>
      </c>
      <c r="S42" s="103"/>
      <c r="U42" s="104">
        <v>3.858333333333333E-4</v>
      </c>
      <c r="V42" s="104">
        <v>5.5173611111111113E-4</v>
      </c>
    </row>
    <row r="43" spans="1:22" ht="24" customHeight="1" x14ac:dyDescent="0.2">
      <c r="A43" s="93">
        <v>20</v>
      </c>
      <c r="B43" s="94">
        <v>126</v>
      </c>
      <c r="C43" s="95">
        <f>IF(ISBLANK($B43),"",VLOOKUP($B43,[1]список!$B$1:$G$544,2,0))</f>
        <v>10131028691</v>
      </c>
      <c r="D43" s="95" t="str">
        <f>IF(ISBLANK($B43),"",VLOOKUP($B43,[1]список!$B$1:$G$544,3,0))</f>
        <v>Зыбин Артем</v>
      </c>
      <c r="E43" s="96">
        <f>IF(ISBLANK($B43),"",VLOOKUP($B43,[1]список!$B$1:$G$544,4,0))</f>
        <v>39747</v>
      </c>
      <c r="F43" s="96" t="str">
        <f>IF(ISBLANK($B43),"",VLOOKUP($B43,[1]список!$B$1:$H$544,5,0))</f>
        <v>КМС</v>
      </c>
      <c r="G43" s="97" t="str">
        <f>IF(ISBLANK($B43),"",VLOOKUP($B43,[1]список!$B$1:$H$544,6,0))</f>
        <v>Тульская область</v>
      </c>
      <c r="H43" s="98">
        <v>2.3122685185185185E-4</v>
      </c>
      <c r="I43" s="99">
        <f t="shared" si="0"/>
        <v>12</v>
      </c>
      <c r="J43" s="98">
        <f t="shared" si="1"/>
        <v>1.5906249999999994E-4</v>
      </c>
      <c r="K43" s="99">
        <f t="shared" si="2"/>
        <v>9</v>
      </c>
      <c r="L43" s="98">
        <f t="shared" si="3"/>
        <v>1.7916666666666672E-4</v>
      </c>
      <c r="M43" s="99">
        <f t="shared" si="4"/>
        <v>10</v>
      </c>
      <c r="N43" s="98">
        <f t="shared" si="5"/>
        <v>2.3754629629629625E-4</v>
      </c>
      <c r="O43" s="99">
        <f t="shared" si="6"/>
        <v>21</v>
      </c>
      <c r="P43" s="100">
        <v>8.0700231481481476E-4</v>
      </c>
      <c r="Q43" s="101">
        <f t="shared" si="7"/>
        <v>51.428571428571431</v>
      </c>
      <c r="R43" s="102" t="str">
        <f t="shared" si="8"/>
        <v>1 СР</v>
      </c>
      <c r="S43" s="103"/>
      <c r="U43" s="104">
        <v>3.9028935185185179E-4</v>
      </c>
      <c r="V43" s="104">
        <v>5.6945601851851851E-4</v>
      </c>
    </row>
    <row r="44" spans="1:22" ht="24" customHeight="1" x14ac:dyDescent="0.2">
      <c r="A44" s="93">
        <v>21</v>
      </c>
      <c r="B44" s="94">
        <v>170</v>
      </c>
      <c r="C44" s="95">
        <f>IF(ISBLANK($B44),"",VLOOKUP($B44,[1]список!$B$1:$G$544,2,0))</f>
        <v>10130335345</v>
      </c>
      <c r="D44" s="95" t="str">
        <f>IF(ISBLANK($B44),"",VLOOKUP($B44,[1]список!$B$1:$G$544,3,0))</f>
        <v>Меремеренко Дмитрий</v>
      </c>
      <c r="E44" s="96">
        <f>IF(ISBLANK($B44),"",VLOOKUP($B44,[1]список!$B$1:$G$544,4,0))</f>
        <v>38821</v>
      </c>
      <c r="F44" s="96" t="str">
        <f>IF(ISBLANK($B44),"",VLOOKUP($B44,[1]список!$B$1:$H$544,5,0))</f>
        <v>1 СР</v>
      </c>
      <c r="G44" s="97" t="str">
        <f>IF(ISBLANK($B44),"",VLOOKUP($B44,[1]список!$B$1:$H$544,6,0))</f>
        <v>Москва</v>
      </c>
      <c r="H44" s="98">
        <v>2.3321759259259259E-4</v>
      </c>
      <c r="I44" s="99">
        <f t="shared" si="0"/>
        <v>18</v>
      </c>
      <c r="J44" s="98">
        <f t="shared" si="1"/>
        <v>1.5114583333333343E-4</v>
      </c>
      <c r="K44" s="99">
        <f t="shared" si="2"/>
        <v>6</v>
      </c>
      <c r="L44" s="98">
        <f t="shared" si="3"/>
        <v>1.8648148148148137E-4</v>
      </c>
      <c r="M44" s="99">
        <f t="shared" si="4"/>
        <v>17</v>
      </c>
      <c r="N44" s="98">
        <f t="shared" si="5"/>
        <v>2.3651620370370374E-4</v>
      </c>
      <c r="O44" s="99">
        <f t="shared" si="6"/>
        <v>20</v>
      </c>
      <c r="P44" s="100">
        <v>8.0736111111111113E-4</v>
      </c>
      <c r="Q44" s="101">
        <f t="shared" si="7"/>
        <v>51.428571428571431</v>
      </c>
      <c r="R44" s="102" t="str">
        <f t="shared" si="8"/>
        <v>1 СР</v>
      </c>
      <c r="S44" s="103"/>
      <c r="U44" s="104">
        <v>3.8436342592592602E-4</v>
      </c>
      <c r="V44" s="104">
        <v>5.7084490740740739E-4</v>
      </c>
    </row>
    <row r="45" spans="1:22" ht="24" customHeight="1" x14ac:dyDescent="0.2">
      <c r="A45" s="93">
        <v>22</v>
      </c>
      <c r="B45" s="94">
        <v>189</v>
      </c>
      <c r="C45" s="95">
        <f>IF(ISBLANK($B45),"",VLOOKUP($B45,[1]список!$B$1:$G$544,2,0))</f>
        <v>10115653383</v>
      </c>
      <c r="D45" s="95" t="str">
        <f>IF(ISBLANK($B45),"",VLOOKUP($B45,[1]список!$B$1:$G$544,3,0))</f>
        <v>Бутрик Егор</v>
      </c>
      <c r="E45" s="96">
        <f>IF(ISBLANK($B45),"",VLOOKUP($B45,[1]список!$B$1:$G$544,4,0))</f>
        <v>38946</v>
      </c>
      <c r="F45" s="96" t="str">
        <f>IF(ISBLANK($B45),"",VLOOKUP($B45,[1]список!$B$1:$H$544,5,0))</f>
        <v>1 СР</v>
      </c>
      <c r="G45" s="97" t="str">
        <f>IF(ISBLANK($B45),"",VLOOKUP($B45,[1]список!$B$1:$H$544,6,0))</f>
        <v>Омская область</v>
      </c>
      <c r="H45" s="98">
        <v>2.2579861111111111E-4</v>
      </c>
      <c r="I45" s="99">
        <f t="shared" si="0"/>
        <v>7</v>
      </c>
      <c r="J45" s="98">
        <f t="shared" si="1"/>
        <v>1.7938657407407413E-4</v>
      </c>
      <c r="K45" s="99">
        <f t="shared" si="2"/>
        <v>19</v>
      </c>
      <c r="L45" s="98">
        <f t="shared" si="3"/>
        <v>1.8982638888888885E-4</v>
      </c>
      <c r="M45" s="99">
        <f t="shared" si="4"/>
        <v>19</v>
      </c>
      <c r="N45" s="98">
        <f t="shared" si="5"/>
        <v>2.2497685185185175E-4</v>
      </c>
      <c r="O45" s="99">
        <f t="shared" si="6"/>
        <v>18</v>
      </c>
      <c r="P45" s="100">
        <v>8.1998842592592583E-4</v>
      </c>
      <c r="Q45" s="101">
        <f t="shared" si="7"/>
        <v>50.70422535211268</v>
      </c>
      <c r="R45" s="102" t="str">
        <f t="shared" si="8"/>
        <v>2 СР</v>
      </c>
      <c r="S45" s="103"/>
      <c r="U45" s="104">
        <v>4.0518518518518524E-4</v>
      </c>
      <c r="V45" s="104">
        <v>5.9501157407407408E-4</v>
      </c>
    </row>
    <row r="46" spans="1:22" ht="24" customHeight="1" x14ac:dyDescent="0.2">
      <c r="A46" s="93">
        <v>23</v>
      </c>
      <c r="B46" s="94">
        <v>118</v>
      </c>
      <c r="C46" s="95">
        <f>IF(ISBLANK($B46),"",VLOOKUP($B46,[1]список!$B$1:$G$544,2,0))</f>
        <v>10120490148</v>
      </c>
      <c r="D46" s="95" t="str">
        <f>IF(ISBLANK($B46),"",VLOOKUP($B46,[1]список!$B$1:$G$544,3,0))</f>
        <v>Кондауров Иван</v>
      </c>
      <c r="E46" s="96">
        <f>IF(ISBLANK($B46),"",VLOOKUP($B46,[1]список!$B$1:$G$544,4,0))</f>
        <v>38826</v>
      </c>
      <c r="F46" s="96" t="str">
        <f>IF(ISBLANK($B46),"",VLOOKUP($B46,[1]список!$B$1:$H$544,5,0))</f>
        <v>КМС</v>
      </c>
      <c r="G46" s="97" t="str">
        <f>IF(ISBLANK($B46),"",VLOOKUP($B46,[1]список!$B$1:$H$544,6,0))</f>
        <v>Тульская область</v>
      </c>
      <c r="H46" s="98">
        <v>2.3123842592592589E-4</v>
      </c>
      <c r="I46" s="99">
        <f t="shared" si="0"/>
        <v>13</v>
      </c>
      <c r="J46" s="98">
        <f t="shared" si="1"/>
        <v>1.7060185185185193E-4</v>
      </c>
      <c r="K46" s="99">
        <f t="shared" si="2"/>
        <v>15</v>
      </c>
      <c r="L46" s="98">
        <f t="shared" si="3"/>
        <v>1.8045138888888879E-4</v>
      </c>
      <c r="M46" s="99">
        <f t="shared" si="4"/>
        <v>12</v>
      </c>
      <c r="N46" s="98">
        <f t="shared" si="5"/>
        <v>2.4112268518518536E-4</v>
      </c>
      <c r="O46" s="99">
        <f t="shared" si="6"/>
        <v>23</v>
      </c>
      <c r="P46" s="100">
        <v>8.2341435185185198E-4</v>
      </c>
      <c r="Q46" s="101">
        <f t="shared" si="7"/>
        <v>50.70422535211268</v>
      </c>
      <c r="R46" s="102" t="str">
        <f t="shared" si="8"/>
        <v>2 СР</v>
      </c>
      <c r="S46" s="103"/>
      <c r="U46" s="104">
        <v>4.0184027777777782E-4</v>
      </c>
      <c r="V46" s="104">
        <v>5.8229166666666661E-4</v>
      </c>
    </row>
    <row r="47" spans="1:22" ht="24" customHeight="1" x14ac:dyDescent="0.2">
      <c r="A47" s="93">
        <v>24</v>
      </c>
      <c r="B47" s="94">
        <v>92</v>
      </c>
      <c r="C47" s="95">
        <f>IF(ISBLANK($B47),"",VLOOKUP($B47,[1]список!$B$1:$G$544,2,0))</f>
        <v>10142216936</v>
      </c>
      <c r="D47" s="95" t="str">
        <f>IF(ISBLANK($B47),"",VLOOKUP($B47,[1]список!$B$1:$G$544,3,0))</f>
        <v>Мокеев Захар</v>
      </c>
      <c r="E47" s="96">
        <f>IF(ISBLANK($B47),"",VLOOKUP($B47,[1]список!$B$1:$G$544,4,0))</f>
        <v>39466</v>
      </c>
      <c r="F47" s="96" t="str">
        <f>IF(ISBLANK($B47),"",VLOOKUP($B47,[1]список!$B$1:$H$544,5,0))</f>
        <v>2 СР</v>
      </c>
      <c r="G47" s="97" t="str">
        <f>IF(ISBLANK($B47),"",VLOOKUP($B47,[1]список!$B$1:$H$544,6,0))</f>
        <v>Санкт-Петербург</v>
      </c>
      <c r="H47" s="98">
        <v>2.3145833333333338E-4</v>
      </c>
      <c r="I47" s="99">
        <f t="shared" si="0"/>
        <v>14</v>
      </c>
      <c r="J47" s="98">
        <f t="shared" si="1"/>
        <v>1.7731481481481474E-4</v>
      </c>
      <c r="K47" s="99">
        <f t="shared" si="2"/>
        <v>18</v>
      </c>
      <c r="L47" s="98">
        <f t="shared" si="3"/>
        <v>1.9613425925925929E-4</v>
      </c>
      <c r="M47" s="99">
        <f t="shared" si="4"/>
        <v>22</v>
      </c>
      <c r="N47" s="98">
        <f t="shared" si="5"/>
        <v>2.3005787037037038E-4</v>
      </c>
      <c r="O47" s="99">
        <f t="shared" si="6"/>
        <v>19</v>
      </c>
      <c r="P47" s="100">
        <v>8.3496527777777779E-4</v>
      </c>
      <c r="Q47" s="101">
        <f t="shared" si="7"/>
        <v>50</v>
      </c>
      <c r="R47" s="102" t="str">
        <f t="shared" si="8"/>
        <v>2 СР</v>
      </c>
      <c r="S47" s="103"/>
      <c r="U47" s="104">
        <v>4.0877314814814813E-4</v>
      </c>
      <c r="V47" s="104">
        <v>6.0490740740740741E-4</v>
      </c>
    </row>
    <row r="48" spans="1:22" ht="24" customHeight="1" x14ac:dyDescent="0.2">
      <c r="A48" s="93">
        <v>25</v>
      </c>
      <c r="B48" s="94">
        <v>67</v>
      </c>
      <c r="C48" s="95">
        <f>IF(ISBLANK($B48),"",VLOOKUP($B48,[1]список!$B$1:$G$544,2,0))</f>
        <v>10133902723</v>
      </c>
      <c r="D48" s="95" t="str">
        <f>IF(ISBLANK($B48),"",VLOOKUP($B48,[1]список!$B$1:$G$544,3,0))</f>
        <v>Пушкарев Ярослав</v>
      </c>
      <c r="E48" s="96">
        <f>IF(ISBLANK($B48),"",VLOOKUP($B48,[1]список!$B$1:$G$544,4,0))</f>
        <v>39552</v>
      </c>
      <c r="F48" s="96" t="str">
        <f>IF(ISBLANK($B48),"",VLOOKUP($B48,[1]список!$B$1:$H$544,5,0))</f>
        <v>1 СР</v>
      </c>
      <c r="G48" s="97" t="s">
        <v>64</v>
      </c>
      <c r="H48" s="98">
        <v>2.4189814814814812E-4</v>
      </c>
      <c r="I48" s="99">
        <f t="shared" si="0"/>
        <v>24</v>
      </c>
      <c r="J48" s="98">
        <f t="shared" si="1"/>
        <v>1.4359953703703705E-4</v>
      </c>
      <c r="K48" s="99">
        <f t="shared" si="2"/>
        <v>3</v>
      </c>
      <c r="L48" s="98">
        <f t="shared" si="3"/>
        <v>1.8532407407407413E-4</v>
      </c>
      <c r="M48" s="99">
        <f t="shared" si="4"/>
        <v>16</v>
      </c>
      <c r="N48" s="98">
        <f t="shared" si="5"/>
        <v>2.6679398148148146E-4</v>
      </c>
      <c r="O48" s="99">
        <f t="shared" si="6"/>
        <v>25</v>
      </c>
      <c r="P48" s="100">
        <v>8.3761574074074077E-4</v>
      </c>
      <c r="Q48" s="101">
        <f t="shared" si="7"/>
        <v>50</v>
      </c>
      <c r="R48" s="102" t="str">
        <f t="shared" si="8"/>
        <v>2 СР</v>
      </c>
      <c r="S48" s="103"/>
      <c r="U48" s="104">
        <v>3.8549768518518517E-4</v>
      </c>
      <c r="V48" s="104">
        <v>5.7082175925925931E-4</v>
      </c>
    </row>
    <row r="49" spans="1:22" ht="24" customHeight="1" x14ac:dyDescent="0.2">
      <c r="A49" s="93">
        <v>26</v>
      </c>
      <c r="B49" s="94">
        <v>184</v>
      </c>
      <c r="C49" s="95">
        <f>IF(ISBLANK($B49),"",VLOOKUP($B49,[1]список!$B$1:$G$544,2,0))</f>
        <v>10093068450</v>
      </c>
      <c r="D49" s="95" t="str">
        <f>IF(ISBLANK($B49),"",VLOOKUP($B49,[1]список!$B$1:$G$544,3,0))</f>
        <v>Кузьмин Кирилл</v>
      </c>
      <c r="E49" s="96">
        <f>IF(ISBLANK($B49),"",VLOOKUP($B49,[1]список!$B$1:$G$544,4,0))</f>
        <v>38798</v>
      </c>
      <c r="F49" s="96" t="str">
        <f>IF(ISBLANK($B49),"",VLOOKUP($B49,[1]список!$B$1:$H$544,5,0))</f>
        <v>КМС</v>
      </c>
      <c r="G49" s="97" t="str">
        <f>IF(ISBLANK($B49),"",VLOOKUP($B49,[1]список!$B$1:$H$544,6,0))</f>
        <v>Удмуртская республика</v>
      </c>
      <c r="H49" s="98">
        <v>2.4075231481481476E-4</v>
      </c>
      <c r="I49" s="99">
        <f t="shared" si="0"/>
        <v>23</v>
      </c>
      <c r="J49" s="98">
        <f t="shared" si="1"/>
        <v>1.3945601851851855E-4</v>
      </c>
      <c r="K49" s="99">
        <f t="shared" si="2"/>
        <v>2</v>
      </c>
      <c r="L49" s="98">
        <f t="shared" si="3"/>
        <v>1.9148148148148139E-4</v>
      </c>
      <c r="M49" s="99">
        <f t="shared" si="4"/>
        <v>21</v>
      </c>
      <c r="N49" s="98">
        <f t="shared" si="5"/>
        <v>2.6914351851851849E-4</v>
      </c>
      <c r="O49" s="99">
        <f t="shared" si="6"/>
        <v>26</v>
      </c>
      <c r="P49" s="100">
        <v>8.4083333333333319E-4</v>
      </c>
      <c r="Q49" s="101">
        <f t="shared" si="7"/>
        <v>49.31506849315069</v>
      </c>
      <c r="R49" s="102" t="str">
        <f t="shared" si="8"/>
        <v>2 СР</v>
      </c>
      <c r="S49" s="103"/>
      <c r="U49" s="104">
        <v>3.8020833333333331E-4</v>
      </c>
      <c r="V49" s="104">
        <v>5.716898148148147E-4</v>
      </c>
    </row>
    <row r="50" spans="1:22" ht="24" customHeight="1" x14ac:dyDescent="0.2">
      <c r="A50" s="93">
        <v>27</v>
      </c>
      <c r="B50" s="94">
        <v>68</v>
      </c>
      <c r="C50" s="95">
        <f>IF(ISBLANK($B50),"",VLOOKUP($B50,[1]список!$B$1:$G$544,2,0))</f>
        <v>10116910545</v>
      </c>
      <c r="D50" s="95" t="str">
        <f>IF(ISBLANK($B50),"",VLOOKUP($B50,[1]список!$B$1:$G$544,3,0))</f>
        <v>Барыбин Даниил</v>
      </c>
      <c r="E50" s="96">
        <f>IF(ISBLANK($B50),"",VLOOKUP($B50,[1]список!$B$1:$G$544,4,0))</f>
        <v>39549</v>
      </c>
      <c r="F50" s="96" t="str">
        <f>IF(ISBLANK($B50),"",VLOOKUP($B50,[1]список!$B$1:$H$544,5,0))</f>
        <v>1 СР</v>
      </c>
      <c r="G50" s="97" t="s">
        <v>64</v>
      </c>
      <c r="H50" s="98">
        <v>2.4356481481481484E-4</v>
      </c>
      <c r="I50" s="99">
        <f t="shared" si="0"/>
        <v>25</v>
      </c>
      <c r="J50" s="98">
        <f t="shared" si="1"/>
        <v>1.4555555555555551E-4</v>
      </c>
      <c r="K50" s="99">
        <f t="shared" si="2"/>
        <v>4</v>
      </c>
      <c r="L50" s="98">
        <f t="shared" si="3"/>
        <v>1.7269675925925921E-4</v>
      </c>
      <c r="M50" s="99">
        <f t="shared" si="4"/>
        <v>4</v>
      </c>
      <c r="N50" s="98">
        <f t="shared" si="5"/>
        <v>2.7967592592592595E-4</v>
      </c>
      <c r="O50" s="99">
        <f t="shared" si="6"/>
        <v>27</v>
      </c>
      <c r="P50" s="100">
        <v>8.4149305555555551E-4</v>
      </c>
      <c r="Q50" s="101">
        <f t="shared" si="7"/>
        <v>49.31506849315069</v>
      </c>
      <c r="R50" s="102" t="str">
        <f t="shared" si="8"/>
        <v>2 СР</v>
      </c>
      <c r="S50" s="103"/>
      <c r="U50" s="104">
        <v>3.8912037037037035E-4</v>
      </c>
      <c r="V50" s="104">
        <v>5.6181712962962956E-4</v>
      </c>
    </row>
    <row r="51" spans="1:22" ht="24" customHeight="1" x14ac:dyDescent="0.2">
      <c r="A51" s="93">
        <v>28</v>
      </c>
      <c r="B51" s="94">
        <v>154</v>
      </c>
      <c r="C51" s="95">
        <f>IF(ISBLANK($B51),"",VLOOKUP($B51,[1]список!$B$1:$G$544,2,0))</f>
        <v>10102210500</v>
      </c>
      <c r="D51" s="95" t="str">
        <f>IF(ISBLANK($B51),"",VLOOKUP($B51,[1]список!$B$1:$G$544,3,0))</f>
        <v>Корольков Павел</v>
      </c>
      <c r="E51" s="96">
        <f>IF(ISBLANK($B51),"",VLOOKUP($B51,[1]список!$B$1:$G$544,4,0))</f>
        <v>39061</v>
      </c>
      <c r="F51" s="96" t="str">
        <f>IF(ISBLANK($B51),"",VLOOKUP($B51,[1]список!$B$1:$H$544,5,0))</f>
        <v>КМС</v>
      </c>
      <c r="G51" s="97" t="str">
        <f>IF(ISBLANK($B51),"",VLOOKUP($B51,[1]список!$B$1:$H$544,6,0))</f>
        <v>Москва</v>
      </c>
      <c r="H51" s="98">
        <v>2.5498842592592592E-4</v>
      </c>
      <c r="I51" s="99">
        <f t="shared" si="0"/>
        <v>30</v>
      </c>
      <c r="J51" s="98">
        <f t="shared" si="1"/>
        <v>1.326273148148148E-4</v>
      </c>
      <c r="K51" s="99">
        <f t="shared" si="2"/>
        <v>1</v>
      </c>
      <c r="L51" s="98">
        <f t="shared" si="3"/>
        <v>1.7131944444444448E-4</v>
      </c>
      <c r="M51" s="99">
        <f t="shared" si="4"/>
        <v>3</v>
      </c>
      <c r="N51" s="98">
        <f t="shared" si="5"/>
        <v>2.8657407407407407E-4</v>
      </c>
      <c r="O51" s="99">
        <f t="shared" si="6"/>
        <v>28</v>
      </c>
      <c r="P51" s="100">
        <v>8.4550925925925928E-4</v>
      </c>
      <c r="Q51" s="101">
        <f t="shared" si="7"/>
        <v>49.31506849315069</v>
      </c>
      <c r="R51" s="102" t="str">
        <f t="shared" si="8"/>
        <v>2 СР</v>
      </c>
      <c r="S51" s="103"/>
      <c r="U51" s="104">
        <v>3.8761574074074073E-4</v>
      </c>
      <c r="V51" s="104">
        <v>5.5893518518518521E-4</v>
      </c>
    </row>
    <row r="52" spans="1:22" ht="24" customHeight="1" x14ac:dyDescent="0.2">
      <c r="A52" s="93">
        <v>29</v>
      </c>
      <c r="B52" s="94">
        <v>65</v>
      </c>
      <c r="C52" s="95">
        <f>IF(ISBLANK($B52),"",VLOOKUP($B52,[1]список!$B$1:$G$544,2,0))</f>
        <v>10104584168</v>
      </c>
      <c r="D52" s="95" t="str">
        <f>IF(ISBLANK($B52),"",VLOOKUP($B52,[1]список!$B$1:$G$544,3,0))</f>
        <v>Комков Влад</v>
      </c>
      <c r="E52" s="96">
        <f>IF(ISBLANK($B52),"",VLOOKUP($B52,[1]список!$B$1:$G$544,4,0))</f>
        <v>39323</v>
      </c>
      <c r="F52" s="96" t="str">
        <f>IF(ISBLANK($B52),"",VLOOKUP($B52,[1]список!$B$1:$H$544,5,0))</f>
        <v>1 СР</v>
      </c>
      <c r="G52" s="97" t="s">
        <v>64</v>
      </c>
      <c r="H52" s="98">
        <v>2.3221064814814814E-4</v>
      </c>
      <c r="I52" s="99">
        <f t="shared" si="0"/>
        <v>15</v>
      </c>
      <c r="J52" s="98">
        <f t="shared" si="1"/>
        <v>1.8612268518518514E-4</v>
      </c>
      <c r="K52" s="99">
        <f t="shared" si="2"/>
        <v>23</v>
      </c>
      <c r="L52" s="98">
        <f t="shared" si="3"/>
        <v>1.7350694444444445E-4</v>
      </c>
      <c r="M52" s="99">
        <f t="shared" si="4"/>
        <v>5</v>
      </c>
      <c r="N52" s="98">
        <f t="shared" si="5"/>
        <v>2.9179398148148153E-4</v>
      </c>
      <c r="O52" s="99">
        <f t="shared" si="6"/>
        <v>29</v>
      </c>
      <c r="P52" s="100">
        <v>8.8363425925925925E-4</v>
      </c>
      <c r="Q52" s="101">
        <f t="shared" si="7"/>
        <v>47.368421052631575</v>
      </c>
      <c r="R52" s="102" t="str">
        <f>IF(P52&lt;=TIMEVALUE("1:01,500"),"МСМК",IF(P52&lt;=TIMEVALUE("1:02,500"),"МС",IF(P52&lt;=TIMEVALUE("1:07,500"),"КМС",IF(P52&lt;=TIMEVALUE("1:10,000"),"1 СР",IF(P52&lt;=TIMEVALUE("1:13,500"),"2 СР",IF(P52&lt;=TIMEVALUE("1:18,000"),"3 СР",IF(P52&lt;=TIMEVALUE("1:23,000"),"1 юн.сп.р.")))))))</f>
        <v>3 СР</v>
      </c>
      <c r="S52" s="103"/>
      <c r="U52" s="104">
        <v>4.1833333333333327E-4</v>
      </c>
      <c r="V52" s="104">
        <v>5.9184027777777772E-4</v>
      </c>
    </row>
    <row r="53" spans="1:22" ht="24" customHeight="1" thickBot="1" x14ac:dyDescent="0.25">
      <c r="A53" s="93">
        <v>30</v>
      </c>
      <c r="B53" s="105">
        <v>66</v>
      </c>
      <c r="C53" s="95">
        <f>IF(ISBLANK($B53),"",VLOOKUP($B53,[1]список!$B$1:$G$544,2,0))</f>
        <v>10116167079</v>
      </c>
      <c r="D53" s="95" t="str">
        <f>IF(ISBLANK($B53),"",VLOOKUP($B53,[1]список!$B$1:$G$544,3,0))</f>
        <v>Коробов Степан</v>
      </c>
      <c r="E53" s="96">
        <f>IF(ISBLANK($B53),"",VLOOKUP($B53,[1]список!$B$1:$G$544,4,0))</f>
        <v>39199</v>
      </c>
      <c r="F53" s="96" t="str">
        <f>IF(ISBLANK($B53),"",VLOOKUP($B53,[1]список!$B$1:$H$544,5,0))</f>
        <v>КМС</v>
      </c>
      <c r="G53" s="97" t="s">
        <v>64</v>
      </c>
      <c r="H53" s="98">
        <v>2.511689814814815E-4</v>
      </c>
      <c r="I53" s="99">
        <f t="shared" si="0"/>
        <v>29</v>
      </c>
      <c r="J53" s="98">
        <f t="shared" si="1"/>
        <v>1.6532407407407408E-4</v>
      </c>
      <c r="K53" s="99">
        <f t="shared" si="2"/>
        <v>13</v>
      </c>
      <c r="L53" s="98">
        <f t="shared" si="3"/>
        <v>1.7771990740740736E-4</v>
      </c>
      <c r="M53" s="99">
        <f t="shared" si="4"/>
        <v>9</v>
      </c>
      <c r="N53" s="98">
        <f t="shared" si="5"/>
        <v>3.0373842592592605E-4</v>
      </c>
      <c r="O53" s="99">
        <f t="shared" si="6"/>
        <v>30</v>
      </c>
      <c r="P53" s="100">
        <v>8.97951388888889E-4</v>
      </c>
      <c r="Q53" s="101">
        <f t="shared" si="7"/>
        <v>46.153846153846153</v>
      </c>
      <c r="R53" s="102" t="str">
        <f>IF(P53&lt;=TIMEVALUE("1:01,500"),"МСМК",IF(P53&lt;=TIMEVALUE("1:02,500"),"МС",IF(P53&lt;=TIMEVALUE("1:07,500"),"КМС",IF(P53&lt;=TIMEVALUE("1:10,000"),"1 СР",IF(P53&lt;=TIMEVALUE("1:13,500"),"2 СР",IF(P53&lt;=TIMEVALUE("1:18,000"),"3 СР",IF(P53&lt;=TIMEVALUE("1:23,000"),"1 юн.сп.р.")))))))</f>
        <v>3 СР</v>
      </c>
      <c r="S53" s="103"/>
      <c r="U53" s="104">
        <v>4.1649305555555558E-4</v>
      </c>
      <c r="V53" s="104">
        <v>5.9421296296296295E-4</v>
      </c>
    </row>
    <row r="54" spans="1:22" ht="8.25" customHeight="1" thickTop="1" thickBot="1" x14ac:dyDescent="0.25">
      <c r="A54" s="106"/>
      <c r="B54" s="107"/>
      <c r="C54" s="108"/>
      <c r="D54" s="109"/>
      <c r="E54" s="110"/>
      <c r="F54" s="111"/>
      <c r="G54" s="112"/>
      <c r="H54" s="113"/>
      <c r="I54" s="113"/>
      <c r="J54" s="113"/>
      <c r="K54" s="113"/>
      <c r="L54" s="113"/>
      <c r="M54" s="113"/>
      <c r="N54" s="113"/>
      <c r="O54" s="113"/>
      <c r="P54" s="113"/>
      <c r="Q54" s="114"/>
      <c r="R54" s="115"/>
      <c r="S54" s="116"/>
    </row>
    <row r="55" spans="1:22" ht="15.75" thickTop="1" x14ac:dyDescent="0.2">
      <c r="A55" s="117" t="s">
        <v>44</v>
      </c>
      <c r="B55" s="118"/>
      <c r="C55" s="118"/>
      <c r="D55" s="118"/>
      <c r="E55" s="119"/>
      <c r="F55" s="119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20"/>
    </row>
    <row r="56" spans="1:22" x14ac:dyDescent="0.2">
      <c r="A56" s="121" t="s">
        <v>45</v>
      </c>
      <c r="B56" s="121"/>
      <c r="C56" s="122"/>
      <c r="D56" s="121"/>
      <c r="E56" s="123"/>
      <c r="F56" s="121"/>
      <c r="G56" s="124" t="s">
        <v>46</v>
      </c>
      <c r="H56" s="125">
        <v>4</v>
      </c>
      <c r="I56" s="126"/>
      <c r="J56" s="127" t="s">
        <v>47</v>
      </c>
      <c r="K56" s="124">
        <f>COUNTIF(F24:F53,"ЗМС")</f>
        <v>0</v>
      </c>
      <c r="L56" s="125"/>
      <c r="M56" s="125"/>
      <c r="N56" s="125"/>
      <c r="O56" s="125"/>
      <c r="P56" s="126"/>
      <c r="Q56" s="128"/>
      <c r="R56" s="127"/>
      <c r="S56" s="124"/>
    </row>
    <row r="57" spans="1:22" x14ac:dyDescent="0.2">
      <c r="A57" s="121" t="s">
        <v>48</v>
      </c>
      <c r="B57" s="121"/>
      <c r="C57" s="122"/>
      <c r="D57" s="121"/>
      <c r="E57" s="123"/>
      <c r="F57" s="121"/>
      <c r="G57" s="122" t="s">
        <v>49</v>
      </c>
      <c r="H57" s="125">
        <f>H58+H62</f>
        <v>30</v>
      </c>
      <c r="I57" s="126"/>
      <c r="J57" s="127" t="s">
        <v>50</v>
      </c>
      <c r="K57" s="124">
        <f>COUNTIF(F24:F53,"МСМК")</f>
        <v>0</v>
      </c>
      <c r="L57" s="125"/>
      <c r="M57" s="125"/>
      <c r="N57" s="125"/>
      <c r="O57" s="125"/>
      <c r="P57" s="126"/>
      <c r="Q57" s="128"/>
      <c r="R57" s="127"/>
      <c r="S57" s="124"/>
    </row>
    <row r="58" spans="1:22" x14ac:dyDescent="0.2">
      <c r="A58" s="121"/>
      <c r="B58" s="121"/>
      <c r="C58" s="122"/>
      <c r="D58" s="121"/>
      <c r="E58" s="123"/>
      <c r="F58" s="121"/>
      <c r="G58" s="122" t="s">
        <v>51</v>
      </c>
      <c r="H58" s="125">
        <f>H59+H60+H61</f>
        <v>30</v>
      </c>
      <c r="I58" s="126"/>
      <c r="J58" s="127" t="s">
        <v>52</v>
      </c>
      <c r="K58" s="124">
        <f>COUNTIF(F24:F53,"МС")</f>
        <v>3</v>
      </c>
      <c r="L58" s="125"/>
      <c r="M58" s="125"/>
      <c r="N58" s="125"/>
      <c r="O58" s="125"/>
      <c r="P58" s="126"/>
      <c r="Q58" s="128"/>
      <c r="R58" s="127"/>
      <c r="S58" s="124"/>
    </row>
    <row r="59" spans="1:22" x14ac:dyDescent="0.2">
      <c r="A59" s="121"/>
      <c r="B59" s="121"/>
      <c r="C59" s="122"/>
      <c r="D59" s="121"/>
      <c r="E59" s="123"/>
      <c r="F59" s="121"/>
      <c r="G59" s="122" t="s">
        <v>53</v>
      </c>
      <c r="H59" s="125">
        <f>COUNT(A24:A53)</f>
        <v>30</v>
      </c>
      <c r="I59" s="126"/>
      <c r="J59" s="127" t="s">
        <v>54</v>
      </c>
      <c r="K59" s="124">
        <f>COUNTIF(F24:F53,"КМС")</f>
        <v>18</v>
      </c>
      <c r="L59" s="125"/>
      <c r="M59" s="125"/>
      <c r="N59" s="125"/>
      <c r="O59" s="125"/>
      <c r="P59" s="126"/>
      <c r="Q59" s="128"/>
      <c r="R59" s="127"/>
      <c r="S59" s="124"/>
    </row>
    <row r="60" spans="1:22" x14ac:dyDescent="0.2">
      <c r="A60" s="121"/>
      <c r="B60" s="121"/>
      <c r="C60" s="122"/>
      <c r="D60" s="121"/>
      <c r="E60" s="123"/>
      <c r="F60" s="121"/>
      <c r="G60" s="122" t="s">
        <v>55</v>
      </c>
      <c r="H60" s="125">
        <f>COUNTIF(A24:A53,"НФ")</f>
        <v>0</v>
      </c>
      <c r="I60" s="126"/>
      <c r="J60" s="127" t="s">
        <v>56</v>
      </c>
      <c r="K60" s="124">
        <f>COUNTIF(F24:F53,"1 СР")</f>
        <v>7</v>
      </c>
      <c r="L60" s="125"/>
      <c r="M60" s="125"/>
      <c r="N60" s="125"/>
      <c r="O60" s="125"/>
      <c r="P60" s="126"/>
      <c r="Q60" s="128"/>
      <c r="R60" s="127"/>
      <c r="S60" s="124"/>
    </row>
    <row r="61" spans="1:22" x14ac:dyDescent="0.2">
      <c r="A61" s="121"/>
      <c r="B61" s="121"/>
      <c r="C61" s="122"/>
      <c r="D61" s="121"/>
      <c r="E61" s="123"/>
      <c r="F61" s="121"/>
      <c r="G61" s="122" t="s">
        <v>57</v>
      </c>
      <c r="H61" s="125">
        <f>COUNTIF(A24:A53,"ДСКВ")</f>
        <v>0</v>
      </c>
      <c r="I61" s="126"/>
      <c r="J61" s="128" t="s">
        <v>58</v>
      </c>
      <c r="K61" s="124">
        <f>COUNTIF(F24:F53,"2 СР")</f>
        <v>2</v>
      </c>
      <c r="L61" s="125"/>
      <c r="M61" s="125"/>
      <c r="N61" s="125"/>
      <c r="O61" s="125"/>
      <c r="P61" s="126"/>
      <c r="Q61" s="128"/>
      <c r="R61" s="127"/>
      <c r="S61" s="124"/>
    </row>
    <row r="62" spans="1:22" x14ac:dyDescent="0.2">
      <c r="A62" s="121"/>
      <c r="B62" s="121"/>
      <c r="C62" s="122"/>
      <c r="D62" s="121"/>
      <c r="E62" s="123"/>
      <c r="F62" s="121"/>
      <c r="G62" s="122" t="s">
        <v>59</v>
      </c>
      <c r="H62" s="125">
        <f>COUNTIF(A24:A53,"НС")</f>
        <v>0</v>
      </c>
      <c r="I62" s="126"/>
      <c r="J62" s="128" t="s">
        <v>60</v>
      </c>
      <c r="K62" s="124">
        <f>COUNTIF(F24:F53,"3 СР")</f>
        <v>0</v>
      </c>
      <c r="L62" s="125"/>
      <c r="M62" s="125"/>
      <c r="N62" s="125"/>
      <c r="O62" s="125"/>
      <c r="P62" s="126"/>
      <c r="Q62" s="128"/>
      <c r="R62" s="127"/>
      <c r="S62" s="124"/>
    </row>
    <row r="63" spans="1:22" x14ac:dyDescent="0.2">
      <c r="A63" s="121"/>
      <c r="B63" s="129"/>
      <c r="C63" s="129"/>
      <c r="D63" s="121"/>
      <c r="E63" s="123"/>
      <c r="F63" s="121"/>
      <c r="G63" s="121"/>
      <c r="H63" s="130"/>
      <c r="I63" s="130"/>
      <c r="J63" s="130"/>
      <c r="K63" s="130"/>
      <c r="L63" s="130"/>
      <c r="M63" s="130"/>
      <c r="N63" s="130"/>
      <c r="O63" s="130"/>
      <c r="P63" s="130"/>
      <c r="Q63" s="128"/>
      <c r="R63" s="121"/>
      <c r="S63" s="121"/>
    </row>
    <row r="64" spans="1:22" ht="15" x14ac:dyDescent="0.2">
      <c r="A64" s="36"/>
      <c r="B64" s="37"/>
      <c r="C64" s="37"/>
      <c r="D64" s="37"/>
      <c r="E64" s="37" t="s">
        <v>61</v>
      </c>
      <c r="F64" s="37"/>
      <c r="G64" s="37"/>
      <c r="H64" s="37" t="s">
        <v>62</v>
      </c>
      <c r="I64" s="37"/>
      <c r="J64" s="37"/>
      <c r="K64" s="37"/>
      <c r="L64" s="37"/>
      <c r="M64" s="37"/>
      <c r="N64" s="37"/>
      <c r="O64" s="37"/>
      <c r="P64" s="37"/>
      <c r="Q64" s="37" t="s">
        <v>63</v>
      </c>
      <c r="R64" s="37"/>
      <c r="S64" s="131"/>
    </row>
    <row r="65" spans="1:19" x14ac:dyDescent="0.2">
      <c r="A65" s="132"/>
      <c r="B65" s="2"/>
      <c r="C65" s="2"/>
      <c r="D65" s="2"/>
      <c r="E65" s="2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19" x14ac:dyDescent="0.2">
      <c r="A66" s="135"/>
      <c r="B66" s="136"/>
      <c r="C66" s="136"/>
      <c r="D66" s="136"/>
      <c r="E66" s="137"/>
      <c r="F66" s="136"/>
      <c r="G66" s="136"/>
      <c r="H66" s="138"/>
      <c r="I66" s="138"/>
      <c r="J66" s="138"/>
      <c r="K66" s="138"/>
      <c r="L66" s="138"/>
      <c r="M66" s="138"/>
      <c r="N66" s="138"/>
      <c r="O66" s="138"/>
      <c r="P66" s="138"/>
      <c r="Q66" s="136"/>
      <c r="R66" s="136"/>
      <c r="S66" s="139"/>
    </row>
    <row r="67" spans="1:19" x14ac:dyDescent="0.2">
      <c r="A67" s="135"/>
      <c r="B67" s="136"/>
      <c r="C67" s="136"/>
      <c r="D67" s="136"/>
      <c r="E67" s="137"/>
      <c r="F67" s="136"/>
      <c r="G67" s="136"/>
      <c r="H67" s="138"/>
      <c r="I67" s="138"/>
      <c r="J67" s="138"/>
      <c r="K67" s="138"/>
      <c r="L67" s="138"/>
      <c r="M67" s="138"/>
      <c r="N67" s="138"/>
      <c r="O67" s="138"/>
      <c r="P67" s="138"/>
      <c r="Q67" s="136"/>
      <c r="R67" s="136"/>
      <c r="S67" s="139"/>
    </row>
    <row r="68" spans="1:19" x14ac:dyDescent="0.2">
      <c r="A68" s="135"/>
      <c r="B68" s="136"/>
      <c r="C68" s="136"/>
      <c r="D68" s="136"/>
      <c r="E68" s="137"/>
      <c r="F68" s="136"/>
      <c r="G68" s="136"/>
      <c r="H68" s="138"/>
      <c r="I68" s="138"/>
      <c r="J68" s="138"/>
      <c r="K68" s="138"/>
      <c r="L68" s="138"/>
      <c r="M68" s="138"/>
      <c r="N68" s="138"/>
      <c r="O68" s="138"/>
      <c r="P68" s="138"/>
      <c r="Q68" s="136"/>
      <c r="R68" s="136"/>
      <c r="S68" s="139"/>
    </row>
    <row r="69" spans="1:19" x14ac:dyDescent="0.2">
      <c r="A69" s="135"/>
      <c r="B69" s="136"/>
      <c r="C69" s="136"/>
      <c r="D69" s="136"/>
      <c r="E69" s="137"/>
      <c r="F69" s="136"/>
      <c r="G69" s="136"/>
      <c r="H69" s="138"/>
      <c r="I69" s="138"/>
      <c r="J69" s="138"/>
      <c r="K69" s="138"/>
      <c r="L69" s="138"/>
      <c r="M69" s="138"/>
      <c r="N69" s="138"/>
      <c r="O69" s="138"/>
      <c r="P69" s="138"/>
      <c r="Q69" s="140"/>
      <c r="R69" s="141"/>
      <c r="S69" s="139"/>
    </row>
    <row r="70" spans="1:19" ht="13.5" thickBot="1" x14ac:dyDescent="0.25">
      <c r="A70" s="142" t="s">
        <v>2</v>
      </c>
      <c r="B70" s="143"/>
      <c r="C70" s="143"/>
      <c r="D70" s="143"/>
      <c r="E70" s="143" t="str">
        <f>G17</f>
        <v>Михайлова И.Н. (ВК, Санкт-Петербург)</v>
      </c>
      <c r="F70" s="143"/>
      <c r="G70" s="143"/>
      <c r="H70" s="143" t="str">
        <f>G18</f>
        <v>Валова А.С. (ВК, Санкт-Петербург)</v>
      </c>
      <c r="I70" s="143"/>
      <c r="J70" s="143"/>
      <c r="K70" s="143"/>
      <c r="L70" s="143"/>
      <c r="M70" s="143"/>
      <c r="N70" s="143"/>
      <c r="O70" s="143"/>
      <c r="P70" s="143"/>
      <c r="Q70" s="143" t="str">
        <f>G19</f>
        <v>Соловьев Г.Н. (ВК, Санкт-Петербург)</v>
      </c>
      <c r="R70" s="143"/>
      <c r="S70" s="144"/>
    </row>
    <row r="71" spans="1:19" ht="13.5" thickTop="1" x14ac:dyDescent="0.2"/>
  </sheetData>
  <autoFilter ref="B23:Q53">
    <sortState ref="B24:Q53">
      <sortCondition ref="P23:P53"/>
    </sortState>
  </autoFilter>
  <mergeCells count="49">
    <mergeCell ref="A65:E65"/>
    <mergeCell ref="F65:S65"/>
    <mergeCell ref="A70:D70"/>
    <mergeCell ref="E70:G70"/>
    <mergeCell ref="H70:P70"/>
    <mergeCell ref="Q70:S70"/>
    <mergeCell ref="A55:D55"/>
    <mergeCell ref="G55:S55"/>
    <mergeCell ref="A64:D64"/>
    <mergeCell ref="E64:G64"/>
    <mergeCell ref="H64:P64"/>
    <mergeCell ref="Q64:S64"/>
    <mergeCell ref="Q21:Q22"/>
    <mergeCell ref="R21:R22"/>
    <mergeCell ref="S21:S22"/>
    <mergeCell ref="U21:U22"/>
    <mergeCell ref="V21:V22"/>
    <mergeCell ref="H22:I22"/>
    <mergeCell ref="J22:K22"/>
    <mergeCell ref="L22:M22"/>
    <mergeCell ref="N22:O22"/>
    <mergeCell ref="H18:S18"/>
    <mergeCell ref="A21:A22"/>
    <mergeCell ref="B21:B22"/>
    <mergeCell ref="C21:C22"/>
    <mergeCell ref="D21:D22"/>
    <mergeCell ref="E21:E22"/>
    <mergeCell ref="F21:F22"/>
    <mergeCell ref="G21:G22"/>
    <mergeCell ref="H21:O21"/>
    <mergeCell ref="P21:P22"/>
    <mergeCell ref="A13:D13"/>
    <mergeCell ref="A14:D14"/>
    <mergeCell ref="A15:G15"/>
    <mergeCell ref="H15:S15"/>
    <mergeCell ref="H16:S16"/>
    <mergeCell ref="H17:S17"/>
    <mergeCell ref="A7:S7"/>
    <mergeCell ref="A8:S8"/>
    <mergeCell ref="A9:S9"/>
    <mergeCell ref="A10:S10"/>
    <mergeCell ref="A11:S11"/>
    <mergeCell ref="A12:S12"/>
    <mergeCell ref="A1:S1"/>
    <mergeCell ref="A2:S2"/>
    <mergeCell ref="A3:S3"/>
    <mergeCell ref="A4:S4"/>
    <mergeCell ref="A5:S5"/>
    <mergeCell ref="A6:S6"/>
  </mergeCells>
  <conditionalFormatting sqref="G59:G62">
    <cfRule type="duplicateValues" dxfId="0" priority="1"/>
  </conditionalFormatting>
  <pageMargins left="0.23622047244094488" right="0.23622047244094488" top="7.7187500000000006E-2" bottom="0.1128125" header="0.31496062992125984" footer="0.31496062992125984"/>
  <pageSetup paperSize="9" scale="56" fitToHeight="0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юниоры 17-18 1000 м</vt:lpstr>
      <vt:lpstr>'юниоры 17-18 1000 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2023-06-12T12:51:58Z</dcterms:created>
  <dcterms:modified xsi:type="dcterms:W3CDTF">2023-06-12T12:52:50Z</dcterms:modified>
</cp:coreProperties>
</file>