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ы 19-22 1000 м " sheetId="1" r:id="rId1"/>
  </sheets>
  <externalReferences>
    <externalReference r:id="rId2"/>
  </externalReferences>
  <definedNames>
    <definedName name="_xlnm._FilterDatabase" localSheetId="0" hidden="1">'юниоры 19-22 1000 м '!$B$21:$V$52</definedName>
    <definedName name="_xlnm.Print_Area" localSheetId="0">'юниоры 19-22 1000 м '!$A$1:$S$69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1" l="1"/>
  <c r="H69" i="1"/>
  <c r="E69" i="1"/>
  <c r="H61" i="1"/>
  <c r="H60" i="1"/>
  <c r="H59" i="1"/>
  <c r="H58" i="1"/>
  <c r="H57" i="1"/>
  <c r="H56" i="1" s="1"/>
  <c r="R40" i="1"/>
  <c r="Q40" i="1"/>
  <c r="N40" i="1"/>
  <c r="O40" i="1" s="1"/>
  <c r="L40" i="1"/>
  <c r="M40" i="1" s="1"/>
  <c r="J40" i="1"/>
  <c r="K40" i="1" s="1"/>
  <c r="I40" i="1"/>
  <c r="G40" i="1"/>
  <c r="F40" i="1"/>
  <c r="E40" i="1"/>
  <c r="D40" i="1"/>
  <c r="C40" i="1"/>
  <c r="R39" i="1"/>
  <c r="Q39" i="1"/>
  <c r="N39" i="1"/>
  <c r="O39" i="1" s="1"/>
  <c r="L39" i="1"/>
  <c r="M39" i="1" s="1"/>
  <c r="J39" i="1"/>
  <c r="K39" i="1" s="1"/>
  <c r="I39" i="1"/>
  <c r="G39" i="1"/>
  <c r="F39" i="1"/>
  <c r="E39" i="1"/>
  <c r="D39" i="1"/>
  <c r="C39" i="1"/>
  <c r="R38" i="1"/>
  <c r="Q38" i="1"/>
  <c r="N38" i="1"/>
  <c r="O38" i="1" s="1"/>
  <c r="L38" i="1"/>
  <c r="M38" i="1" s="1"/>
  <c r="J38" i="1"/>
  <c r="K38" i="1" s="1"/>
  <c r="I38" i="1"/>
  <c r="G38" i="1"/>
  <c r="F38" i="1"/>
  <c r="E38" i="1"/>
  <c r="D38" i="1"/>
  <c r="C38" i="1"/>
  <c r="R37" i="1"/>
  <c r="Q37" i="1"/>
  <c r="N37" i="1"/>
  <c r="O37" i="1" s="1"/>
  <c r="L37" i="1"/>
  <c r="M37" i="1" s="1"/>
  <c r="J37" i="1"/>
  <c r="K37" i="1" s="1"/>
  <c r="I37" i="1"/>
  <c r="G37" i="1"/>
  <c r="F37" i="1"/>
  <c r="E37" i="1"/>
  <c r="D37" i="1"/>
  <c r="C37" i="1"/>
  <c r="R36" i="1"/>
  <c r="Q36" i="1"/>
  <c r="N36" i="1"/>
  <c r="O36" i="1" s="1"/>
  <c r="L36" i="1"/>
  <c r="M36" i="1" s="1"/>
  <c r="J36" i="1"/>
  <c r="K36" i="1" s="1"/>
  <c r="I36" i="1"/>
  <c r="G36" i="1"/>
  <c r="F36" i="1"/>
  <c r="E36" i="1"/>
  <c r="D36" i="1"/>
  <c r="C36" i="1"/>
  <c r="R35" i="1"/>
  <c r="Q35" i="1"/>
  <c r="N35" i="1"/>
  <c r="O35" i="1" s="1"/>
  <c r="L35" i="1"/>
  <c r="M35" i="1" s="1"/>
  <c r="J35" i="1"/>
  <c r="K35" i="1" s="1"/>
  <c r="I35" i="1"/>
  <c r="G35" i="1"/>
  <c r="F35" i="1"/>
  <c r="E35" i="1"/>
  <c r="D35" i="1"/>
  <c r="C35" i="1"/>
  <c r="R34" i="1"/>
  <c r="Q34" i="1"/>
  <c r="N34" i="1"/>
  <c r="O34" i="1" s="1"/>
  <c r="L34" i="1"/>
  <c r="M34" i="1" s="1"/>
  <c r="J34" i="1"/>
  <c r="K34" i="1" s="1"/>
  <c r="I34" i="1"/>
  <c r="G34" i="1"/>
  <c r="F34" i="1"/>
  <c r="E34" i="1"/>
  <c r="D34" i="1"/>
  <c r="C34" i="1"/>
  <c r="R33" i="1"/>
  <c r="Q33" i="1"/>
  <c r="N33" i="1"/>
  <c r="O33" i="1" s="1"/>
  <c r="L33" i="1"/>
  <c r="M33" i="1" s="1"/>
  <c r="J33" i="1"/>
  <c r="K33" i="1" s="1"/>
  <c r="I33" i="1"/>
  <c r="G33" i="1"/>
  <c r="F33" i="1"/>
  <c r="E33" i="1"/>
  <c r="D33" i="1"/>
  <c r="C33" i="1"/>
  <c r="R32" i="1"/>
  <c r="Q32" i="1"/>
  <c r="N32" i="1"/>
  <c r="O32" i="1" s="1"/>
  <c r="L32" i="1"/>
  <c r="M32" i="1" s="1"/>
  <c r="J32" i="1"/>
  <c r="K32" i="1" s="1"/>
  <c r="I32" i="1"/>
  <c r="G32" i="1"/>
  <c r="F32" i="1"/>
  <c r="E32" i="1"/>
  <c r="D32" i="1"/>
  <c r="C32" i="1"/>
  <c r="R31" i="1"/>
  <c r="Q31" i="1"/>
  <c r="N31" i="1"/>
  <c r="L31" i="1"/>
  <c r="M31" i="1" s="1"/>
  <c r="J31" i="1"/>
  <c r="K31" i="1" s="1"/>
  <c r="I31" i="1"/>
  <c r="G31" i="1"/>
  <c r="F31" i="1"/>
  <c r="E31" i="1"/>
  <c r="D31" i="1"/>
  <c r="C31" i="1"/>
  <c r="R30" i="1"/>
  <c r="Q30" i="1"/>
  <c r="N30" i="1"/>
  <c r="O30" i="1" s="1"/>
  <c r="L30" i="1"/>
  <c r="J30" i="1"/>
  <c r="K30" i="1" s="1"/>
  <c r="I30" i="1"/>
  <c r="G30" i="1"/>
  <c r="F30" i="1"/>
  <c r="E30" i="1"/>
  <c r="D30" i="1"/>
  <c r="C30" i="1"/>
  <c r="R29" i="1"/>
  <c r="Q29" i="1"/>
  <c r="N29" i="1"/>
  <c r="O29" i="1" s="1"/>
  <c r="L29" i="1"/>
  <c r="M29" i="1" s="1"/>
  <c r="J29" i="1"/>
  <c r="I29" i="1"/>
  <c r="G29" i="1"/>
  <c r="F29" i="1"/>
  <c r="E29" i="1"/>
  <c r="D29" i="1"/>
  <c r="C29" i="1"/>
  <c r="R28" i="1"/>
  <c r="Q28" i="1"/>
  <c r="N28" i="1"/>
  <c r="O28" i="1" s="1"/>
  <c r="L28" i="1"/>
  <c r="M28" i="1" s="1"/>
  <c r="J28" i="1"/>
  <c r="K28" i="1" s="1"/>
  <c r="I28" i="1"/>
  <c r="G28" i="1"/>
  <c r="F28" i="1"/>
  <c r="E28" i="1"/>
  <c r="D28" i="1"/>
  <c r="C28" i="1"/>
  <c r="R27" i="1"/>
  <c r="Q27" i="1"/>
  <c r="N27" i="1"/>
  <c r="L27" i="1"/>
  <c r="M27" i="1" s="1"/>
  <c r="J27" i="1"/>
  <c r="K27" i="1" s="1"/>
  <c r="I27" i="1"/>
  <c r="G27" i="1"/>
  <c r="F27" i="1"/>
  <c r="E27" i="1"/>
  <c r="D27" i="1"/>
  <c r="C27" i="1"/>
  <c r="R26" i="1"/>
  <c r="Q26" i="1"/>
  <c r="N26" i="1"/>
  <c r="O23" i="1" s="1"/>
  <c r="L26" i="1"/>
  <c r="J26" i="1"/>
  <c r="K26" i="1" s="1"/>
  <c r="I26" i="1"/>
  <c r="G26" i="1"/>
  <c r="F26" i="1"/>
  <c r="E26" i="1"/>
  <c r="D26" i="1"/>
  <c r="C26" i="1"/>
  <c r="R25" i="1"/>
  <c r="Q25" i="1"/>
  <c r="N25" i="1"/>
  <c r="O25" i="1" s="1"/>
  <c r="L25" i="1"/>
  <c r="M25" i="1" s="1"/>
  <c r="J25" i="1"/>
  <c r="I25" i="1"/>
  <c r="G25" i="1"/>
  <c r="F25" i="1"/>
  <c r="E25" i="1"/>
  <c r="D25" i="1"/>
  <c r="C25" i="1"/>
  <c r="R24" i="1"/>
  <c r="Q24" i="1"/>
  <c r="N24" i="1"/>
  <c r="O24" i="1" s="1"/>
  <c r="L24" i="1"/>
  <c r="M23" i="1" s="1"/>
  <c r="J24" i="1"/>
  <c r="K24" i="1" s="1"/>
  <c r="I24" i="1"/>
  <c r="G24" i="1"/>
  <c r="F24" i="1"/>
  <c r="E24" i="1"/>
  <c r="D24" i="1"/>
  <c r="C24" i="1"/>
  <c r="R23" i="1"/>
  <c r="Q23" i="1"/>
  <c r="N23" i="1"/>
  <c r="O31" i="1" s="1"/>
  <c r="L23" i="1"/>
  <c r="M30" i="1" s="1"/>
  <c r="J23" i="1"/>
  <c r="K29" i="1" s="1"/>
  <c r="I23" i="1"/>
  <c r="G23" i="1"/>
  <c r="F23" i="1"/>
  <c r="K58" i="1" s="1"/>
  <c r="E23" i="1"/>
  <c r="D23" i="1"/>
  <c r="C23" i="1"/>
  <c r="K55" i="1" l="1"/>
  <c r="O26" i="1"/>
  <c r="K56" i="1"/>
  <c r="K60" i="1"/>
  <c r="M24" i="1"/>
  <c r="K59" i="1"/>
  <c r="K23" i="1"/>
  <c r="K57" i="1"/>
  <c r="K61" i="1"/>
  <c r="K25" i="1"/>
  <c r="M26" i="1"/>
  <c r="O27" i="1"/>
</calcChain>
</file>

<file path=xl/sharedStrings.xml><?xml version="1.0" encoding="utf-8"?>
<sst xmlns="http://schemas.openxmlformats.org/spreadsheetml/2006/main" count="67" uniqueCount="64">
  <si>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</si>
  <si>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</si>
  <si>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</si>
  <si>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</si>
  <si>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</si>
  <si>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</si>
  <si>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гит с места 1000 м</t>
  </si>
  <si>
    <t>Юниоры 19-22 года</t>
  </si>
  <si>
    <t>МЕСТО ПРОВЕДЕНИЯ: г. Санкт-Петербург</t>
  </si>
  <si>
    <t>НАЧАЛО ГОНКИ:</t>
  </si>
  <si>
    <t>№ ВРВС: 0080281811А</t>
  </si>
  <si>
    <t>ДАТА ПРОВЕДЕНИЯ: 12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</si>
  <si>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</si>
  <si>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</si>
  <si>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</si>
  <si>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</si>
  <si>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</si>
  <si>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</si>
  <si>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</si>
  <si>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</si>
  <si>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</si>
  <si>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</si>
  <si>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</si>
  <si>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</si>
  <si>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</si>
  <si>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</si>
  <si>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0,250/4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</si>
  <si>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</si>
  <si>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</si>
  <si>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</si>
  <si>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</si>
  <si>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</si>
  <si>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</si>
  <si>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</si>
  <si>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</si>
  <si>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</si>
  <si>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</si>
  <si>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</si>
  <si>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</si>
  <si>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500м</t>
  </si>
  <si>
    <t>0-250м</t>
  </si>
  <si>
    <t>250-500 м</t>
  </si>
  <si>
    <t>500-750 м</t>
  </si>
  <si>
    <t>750-1000 м</t>
  </si>
  <si>
    <t>ПОГОДНЫЕ УСЛОВИЯ</t>
  </si>
  <si>
    <t>Температура: +22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</si>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</sst>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yyyy"/>
  </numFmts>
  <fonts count="1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 wrapText="1"/>
    </xf>
    <xf numFmtId="2" fontId="9" fillId="3" borderId="28" xfId="1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14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5" fillId="0" borderId="27" xfId="0" applyNumberFormat="1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47" fontId="0" fillId="0" borderId="0" xfId="0" applyNumberFormat="1"/>
    <xf numFmtId="168" fontId="0" fillId="0" borderId="0" xfId="0" applyNumberFormat="1"/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/>
    <xf numFmtId="49" fontId="2" fillId="0" borderId="27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361950</xdr:colOff>
      <xdr:row>5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447675</xdr:colOff>
      <xdr:row>5</xdr:row>
      <xdr:rowOff>76200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6675"/>
          <a:ext cx="1228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63</xdr:row>
      <xdr:rowOff>47625</xdr:rowOff>
    </xdr:from>
    <xdr:to>
      <xdr:col>18</xdr:col>
      <xdr:colOff>371475</xdr:colOff>
      <xdr:row>69</xdr:row>
      <xdr:rowOff>28575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3344525"/>
          <a:ext cx="1495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381000</xdr:colOff>
      <xdr:row>62</xdr:row>
      <xdr:rowOff>76200</xdr:rowOff>
    </xdr:from>
    <xdr:to>
      <xdr:col>6</xdr:col>
      <xdr:colOff>685800</xdr:colOff>
      <xdr:row>68</xdr:row>
      <xdr:rowOff>9525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318260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63</xdr:row>
      <xdr:rowOff>114300</xdr:rowOff>
    </xdr:from>
    <xdr:to>
      <xdr:col>12</xdr:col>
      <xdr:colOff>133350</xdr:colOff>
      <xdr:row>67</xdr:row>
      <xdr:rowOff>95250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3411200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533400</xdr:colOff>
      <xdr:row>0</xdr:row>
      <xdr:rowOff>76200</xdr:rowOff>
    </xdr:from>
    <xdr:to>
      <xdr:col>17</xdr:col>
      <xdr:colOff>666750</xdr:colOff>
      <xdr:row>4</xdr:row>
      <xdr:rowOff>104775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76200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медисон  старт жен."/>
      <sheetName val="медисон  старт муж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70"/>
  <sheetViews>
    <sheetView tabSelected="1" zoomScaleNormal="100" workbookViewId="0">
      <selection activeCell="C72" sqref="C72"/>
    </sheetView>
  </sheetViews>
  <sheetFormatPr defaultRowHeight="12.75" x14ac:dyDescent="0.2"/>
  <cols>
    <col min="2" max="2" width="6.7109375" customWidth="1"/>
    <col min="3" max="3" width="12.42578125" customWidth="1"/>
    <col min="4" max="4" width="21.28515625" customWidth="1"/>
    <col min="5" max="5" width="11" customWidth="1"/>
    <col min="6" max="6" width="10.28515625" customWidth="1"/>
    <col min="7" max="7" width="24.28515625" customWidth="1"/>
    <col min="8" max="8" width="7" customWidth="1"/>
    <col min="9" max="9" width="5.28515625" customWidth="1"/>
    <col min="10" max="10" width="7.28515625" customWidth="1"/>
    <col min="11" max="11" width="5" customWidth="1"/>
    <col min="12" max="12" width="7.28515625" customWidth="1"/>
    <col min="13" max="13" width="4.140625" customWidth="1"/>
    <col min="14" max="14" width="7" customWidth="1"/>
    <col min="15" max="15" width="5" customWidth="1"/>
    <col min="17" max="17" width="7.42578125" customWidth="1"/>
    <col min="18" max="18" width="10.140625" customWidth="1"/>
    <col min="19" max="19" width="10.5703125" customWidth="1"/>
  </cols>
  <sheetData>
    <row r="1" spans="1:1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.900000000000000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8.5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8.75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21" x14ac:dyDescent="0.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</row>
    <row r="13" spans="1:19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5"/>
      <c r="S13" s="26" t="s">
        <v>10</v>
      </c>
    </row>
    <row r="14" spans="1:19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  <c r="S14" s="35" t="s">
        <v>13</v>
      </c>
    </row>
    <row r="15" spans="1:19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ht="15" x14ac:dyDescent="0.2">
      <c r="A16" s="42"/>
      <c r="B16" s="43"/>
      <c r="C16" s="43"/>
      <c r="D16" s="44"/>
      <c r="E16" s="45" t="s">
        <v>2</v>
      </c>
      <c r="F16" s="44"/>
      <c r="G16" s="45"/>
      <c r="H16" s="46" t="s">
        <v>16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22" ht="15" x14ac:dyDescent="0.2">
      <c r="A17" s="42" t="s">
        <v>17</v>
      </c>
      <c r="B17" s="43"/>
      <c r="C17" s="43"/>
      <c r="D17" s="45"/>
      <c r="E17" s="49"/>
      <c r="F17" s="44"/>
      <c r="G17" s="50" t="s">
        <v>18</v>
      </c>
      <c r="H17" s="46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22" ht="15" x14ac:dyDescent="0.2">
      <c r="A18" s="42" t="s">
        <v>20</v>
      </c>
      <c r="B18" s="43"/>
      <c r="C18" s="43"/>
      <c r="D18" s="45"/>
      <c r="E18" s="49"/>
      <c r="F18" s="44"/>
      <c r="G18" s="50" t="s">
        <v>21</v>
      </c>
      <c r="H18" s="46" t="s">
        <v>22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22" ht="16.5" thickBot="1" x14ac:dyDescent="0.25">
      <c r="A19" s="42" t="s">
        <v>23</v>
      </c>
      <c r="B19" s="51"/>
      <c r="C19" s="51"/>
      <c r="D19" s="52"/>
      <c r="E19" s="53"/>
      <c r="F19" s="52"/>
      <c r="G19" s="50" t="s">
        <v>24</v>
      </c>
      <c r="H19" s="54" t="s">
        <v>25</v>
      </c>
      <c r="I19" s="55"/>
      <c r="J19" s="55"/>
      <c r="K19" s="55"/>
      <c r="L19" s="55"/>
      <c r="M19" s="55"/>
      <c r="N19" s="55"/>
      <c r="O19" s="55"/>
      <c r="P19" s="55"/>
      <c r="Q19" s="56">
        <v>1</v>
      </c>
      <c r="S19" s="57" t="s">
        <v>26</v>
      </c>
    </row>
    <row r="20" spans="1:22" ht="14.25" thickTop="1" thickBot="1" x14ac:dyDescent="0.25">
      <c r="A20" s="58"/>
      <c r="B20" s="59"/>
      <c r="C20" s="59"/>
      <c r="D20" s="58"/>
      <c r="E20" s="60"/>
      <c r="F20" s="58"/>
      <c r="G20" s="58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58"/>
      <c r="S20" s="58"/>
    </row>
    <row r="21" spans="1:22" ht="13.5" thickTop="1" x14ac:dyDescent="0.2">
      <c r="A21" s="63" t="s">
        <v>27</v>
      </c>
      <c r="B21" s="64" t="s">
        <v>28</v>
      </c>
      <c r="C21" s="64" t="s">
        <v>29</v>
      </c>
      <c r="D21" s="64" t="s">
        <v>30</v>
      </c>
      <c r="E21" s="65" t="s">
        <v>31</v>
      </c>
      <c r="F21" s="64" t="s">
        <v>32</v>
      </c>
      <c r="G21" s="64" t="s">
        <v>33</v>
      </c>
      <c r="H21" s="66" t="s">
        <v>34</v>
      </c>
      <c r="I21" s="67"/>
      <c r="J21" s="67"/>
      <c r="K21" s="67"/>
      <c r="L21" s="67"/>
      <c r="M21" s="67"/>
      <c r="N21" s="67"/>
      <c r="O21" s="68"/>
      <c r="P21" s="69" t="s">
        <v>35</v>
      </c>
      <c r="Q21" s="70" t="s">
        <v>36</v>
      </c>
      <c r="R21" s="71" t="s">
        <v>37</v>
      </c>
      <c r="S21" s="72" t="s">
        <v>38</v>
      </c>
      <c r="U21" s="73" t="s">
        <v>39</v>
      </c>
      <c r="V21" s="73">
        <v>750</v>
      </c>
    </row>
    <row r="22" spans="1:22" x14ac:dyDescent="0.2">
      <c r="A22" s="74"/>
      <c r="B22" s="75"/>
      <c r="C22" s="75"/>
      <c r="D22" s="75"/>
      <c r="E22" s="76"/>
      <c r="F22" s="75"/>
      <c r="G22" s="75"/>
      <c r="H22" s="77" t="s">
        <v>40</v>
      </c>
      <c r="I22" s="78"/>
      <c r="J22" s="77" t="s">
        <v>41</v>
      </c>
      <c r="K22" s="78"/>
      <c r="L22" s="77" t="s">
        <v>42</v>
      </c>
      <c r="M22" s="78"/>
      <c r="N22" s="77" t="s">
        <v>43</v>
      </c>
      <c r="O22" s="78"/>
      <c r="P22" s="79"/>
      <c r="Q22" s="80"/>
      <c r="R22" s="81"/>
      <c r="S22" s="82"/>
      <c r="U22" s="73"/>
      <c r="V22" s="73"/>
    </row>
    <row r="23" spans="1:22" ht="30.75" customHeight="1" x14ac:dyDescent="0.2">
      <c r="A23" s="83">
        <v>1</v>
      </c>
      <c r="B23" s="84">
        <v>155</v>
      </c>
      <c r="C23" s="85">
        <f>IF(ISBLANK($B23),"",VLOOKUP($B23,[1]список!$B$1:$G$544,2,0))</f>
        <v>10036069533</v>
      </c>
      <c r="D23" s="85" t="str">
        <f>IF(ISBLANK($B23),"",VLOOKUP($B23,[1]список!$B$1:$G$544,3,0))</f>
        <v>Гладышев Иван</v>
      </c>
      <c r="E23" s="86">
        <f>IF(ISBLANK($B23),"",VLOOKUP($B23,[1]список!$B$1:$G$544,4,0))</f>
        <v>37116</v>
      </c>
      <c r="F23" s="86" t="str">
        <f>IF(ISBLANK($B23),"",VLOOKUP($B23,[1]список!$B$1:$H$544,5,0))</f>
        <v>МСМК</v>
      </c>
      <c r="G23" s="87" t="str">
        <f>IF(ISBLANK($B23),"",VLOOKUP($B23,[1]список!$B$1:$H$544,6,0))</f>
        <v>Москва</v>
      </c>
      <c r="H23" s="88">
        <v>2.2144675925925923E-4</v>
      </c>
      <c r="I23" s="89">
        <f t="shared" ref="I23:I40" si="0">RANK(H23,H$23:H$51,1)</f>
        <v>3</v>
      </c>
      <c r="J23" s="88">
        <f t="shared" ref="J23:J40" si="1">U23-H23</f>
        <v>1.5910879629629635E-4</v>
      </c>
      <c r="K23" s="89">
        <f t="shared" ref="K23:K40" si="2">RANK(J23,J$23:J$51,1)</f>
        <v>2</v>
      </c>
      <c r="L23" s="88">
        <f t="shared" ref="L23:L40" si="3">V23-U23</f>
        <v>1.6188657407407401E-4</v>
      </c>
      <c r="M23" s="89">
        <f t="shared" ref="M23:M40" si="4">RANK(L23,L$23:L$51,1)</f>
        <v>1</v>
      </c>
      <c r="N23" s="88">
        <f t="shared" ref="N23:N40" si="5">P23-V23</f>
        <v>1.7363425925925934E-4</v>
      </c>
      <c r="O23" s="89">
        <f t="shared" ref="O23:O40" si="6">RANK(N23,N$23:N$51,1)</f>
        <v>5</v>
      </c>
      <c r="P23" s="90">
        <v>7.1607638888888893E-4</v>
      </c>
      <c r="Q23" s="91">
        <f t="shared" ref="Q23:Q40" si="7">1/(HOUR(P23)+MINUTE(P23)/60+SECOND(P23)/3600)</f>
        <v>58.064516129032256</v>
      </c>
      <c r="R23" s="92" t="str">
        <f t="shared" ref="R23:R40" si="8">IF(P23&lt;=TIMEVALUE("1:01,500"),"МСМК",IF(P23&lt;=TIMEVALUE("1:02,500"),"МС",IF(P23&lt;=TIMEVALUE("1:07,500"),"КМС",IF(P23&lt;=TIMEVALUE("1:10,000"),"1 СР",IF(P23&lt;=TIMEVALUE("1:13,500"),"2 СР",IF(P23&lt;=TIMEVALUE("1:18,000"),"3 СР",IF(P23&lt;=TIMEVALUE("1:23,000"),"1 юн.сп.р.")))))))</f>
        <v>МС</v>
      </c>
      <c r="S23" s="93"/>
      <c r="U23" s="94">
        <v>3.8055555555555558E-4</v>
      </c>
      <c r="V23" s="94">
        <v>5.4244212962962959E-4</v>
      </c>
    </row>
    <row r="24" spans="1:22" ht="30.75" customHeight="1" x14ac:dyDescent="0.2">
      <c r="A24" s="83">
        <v>2</v>
      </c>
      <c r="B24" s="84">
        <v>138</v>
      </c>
      <c r="C24" s="85">
        <f>IF(ISBLANK($B24),"",VLOOKUP($B24,[1]список!$B$1:$G$544,2,0))</f>
        <v>10053869942</v>
      </c>
      <c r="D24" s="85" t="str">
        <f>IF(ISBLANK($B24),"",VLOOKUP($B24,[1]список!$B$1:$G$544,3,0))</f>
        <v>Бирюков Никита</v>
      </c>
      <c r="E24" s="86">
        <f>IF(ISBLANK($B24),"",VLOOKUP($B24,[1]список!$B$1:$G$544,4,0))</f>
        <v>37988</v>
      </c>
      <c r="F24" s="86" t="str">
        <f>IF(ISBLANK($B24),"",VLOOKUP($B24,[1]список!$B$1:$H$544,5,0))</f>
        <v>МС</v>
      </c>
      <c r="G24" s="87" t="str">
        <f>IF(ISBLANK($B24),"",VLOOKUP($B24,[1]список!$B$1:$H$544,6,0))</f>
        <v>Москва</v>
      </c>
      <c r="H24" s="88">
        <v>2.2550925925925928E-4</v>
      </c>
      <c r="I24" s="89">
        <f t="shared" si="0"/>
        <v>11</v>
      </c>
      <c r="J24" s="88">
        <f t="shared" si="1"/>
        <v>1.6034722222222215E-4</v>
      </c>
      <c r="K24" s="89">
        <f t="shared" si="2"/>
        <v>6</v>
      </c>
      <c r="L24" s="88">
        <f t="shared" si="3"/>
        <v>1.6416666666666668E-4</v>
      </c>
      <c r="M24" s="89">
        <f t="shared" si="4"/>
        <v>5</v>
      </c>
      <c r="N24" s="88">
        <f t="shared" si="5"/>
        <v>1.7312499999999999E-4</v>
      </c>
      <c r="O24" s="89">
        <f t="shared" si="6"/>
        <v>4</v>
      </c>
      <c r="P24" s="90">
        <v>7.2314814814814811E-4</v>
      </c>
      <c r="Q24" s="91">
        <f t="shared" si="7"/>
        <v>58.064516129032256</v>
      </c>
      <c r="R24" s="92" t="str">
        <f t="shared" si="8"/>
        <v>МС</v>
      </c>
      <c r="S24" s="93"/>
      <c r="U24" s="94">
        <v>3.8585648148148143E-4</v>
      </c>
      <c r="V24" s="94">
        <v>5.5002314814814812E-4</v>
      </c>
    </row>
    <row r="25" spans="1:22" ht="30.75" customHeight="1" x14ac:dyDescent="0.2">
      <c r="A25" s="83">
        <v>3</v>
      </c>
      <c r="B25" s="84">
        <v>209</v>
      </c>
      <c r="C25" s="85">
        <f>IF(ISBLANK($B25),"",VLOOKUP($B25,[1]список!$B$1:$G$544,2,0))</f>
        <v>10062526988</v>
      </c>
      <c r="D25" s="85" t="str">
        <f>IF(ISBLANK($B25),"",VLOOKUP($B25,[1]список!$B$1:$G$544,3,0))</f>
        <v>Шестаков Артем</v>
      </c>
      <c r="E25" s="86">
        <f>IF(ISBLANK($B25),"",VLOOKUP($B25,[1]список!$B$1:$G$544,4,0))</f>
        <v>37882</v>
      </c>
      <c r="F25" s="86" t="str">
        <f>IF(ISBLANK($B25),"",VLOOKUP($B25,[1]список!$B$1:$H$544,5,0))</f>
        <v>КМС</v>
      </c>
      <c r="G25" s="87" t="str">
        <f>IF(ISBLANK($B25),"",VLOOKUP($B25,[1]список!$B$1:$H$544,6,0))</f>
        <v>Омская область</v>
      </c>
      <c r="H25" s="88">
        <v>2.2981481481481483E-4</v>
      </c>
      <c r="I25" s="89">
        <f t="shared" si="0"/>
        <v>14</v>
      </c>
      <c r="J25" s="88">
        <f t="shared" si="1"/>
        <v>1.5939814814814812E-4</v>
      </c>
      <c r="K25" s="89">
        <f t="shared" si="2"/>
        <v>4</v>
      </c>
      <c r="L25" s="88">
        <f t="shared" si="3"/>
        <v>1.634722222222223E-4</v>
      </c>
      <c r="M25" s="89">
        <f t="shared" si="4"/>
        <v>3</v>
      </c>
      <c r="N25" s="88">
        <f t="shared" si="5"/>
        <v>1.7204861111111099E-4</v>
      </c>
      <c r="O25" s="89">
        <f t="shared" si="6"/>
        <v>3</v>
      </c>
      <c r="P25" s="90">
        <v>7.2473379629629624E-4</v>
      </c>
      <c r="Q25" s="91">
        <f t="shared" si="7"/>
        <v>57.142857142857146</v>
      </c>
      <c r="R25" s="92" t="str">
        <f t="shared" si="8"/>
        <v>КМС</v>
      </c>
      <c r="S25" s="93"/>
      <c r="U25" s="94">
        <v>3.8921296296296295E-4</v>
      </c>
      <c r="V25" s="94">
        <v>5.5268518518518525E-4</v>
      </c>
    </row>
    <row r="26" spans="1:22" ht="30.75" customHeight="1" x14ac:dyDescent="0.2">
      <c r="A26" s="83">
        <v>4</v>
      </c>
      <c r="B26" s="84">
        <v>149</v>
      </c>
      <c r="C26" s="85">
        <f>IF(ISBLANK($B26),"",VLOOKUP($B26,[1]список!$B$1:$G$544,2,0))</f>
        <v>10036078728</v>
      </c>
      <c r="D26" s="85" t="str">
        <f>IF(ISBLANK($B26),"",VLOOKUP($B26,[1]список!$B$1:$G$544,3,0))</f>
        <v>Калачник Никита</v>
      </c>
      <c r="E26" s="86">
        <f>IF(ISBLANK($B26),"",VLOOKUP($B26,[1]список!$B$1:$G$544,4,0))</f>
        <v>37795</v>
      </c>
      <c r="F26" s="86" t="str">
        <f>IF(ISBLANK($B26),"",VLOOKUP($B26,[1]список!$B$1:$H$544,5,0))</f>
        <v>МСМК</v>
      </c>
      <c r="G26" s="87" t="str">
        <f>IF(ISBLANK($B26),"",VLOOKUP($B26,[1]список!$B$1:$H$544,6,0))</f>
        <v>Москва</v>
      </c>
      <c r="H26" s="88">
        <v>2.2484953703703705E-4</v>
      </c>
      <c r="I26" s="89">
        <f t="shared" si="0"/>
        <v>10</v>
      </c>
      <c r="J26" s="88">
        <f t="shared" si="1"/>
        <v>1.566435185185185E-4</v>
      </c>
      <c r="K26" s="89">
        <f t="shared" si="2"/>
        <v>1</v>
      </c>
      <c r="L26" s="88">
        <f t="shared" si="3"/>
        <v>1.6399305555555563E-4</v>
      </c>
      <c r="M26" s="89">
        <f t="shared" si="4"/>
        <v>4</v>
      </c>
      <c r="N26" s="88">
        <f t="shared" si="5"/>
        <v>1.7927083333333326E-4</v>
      </c>
      <c r="O26" s="89">
        <f t="shared" si="6"/>
        <v>6</v>
      </c>
      <c r="P26" s="90">
        <v>7.2475694444444443E-4</v>
      </c>
      <c r="Q26" s="91">
        <f t="shared" si="7"/>
        <v>57.142857142857146</v>
      </c>
      <c r="R26" s="92" t="str">
        <f t="shared" si="8"/>
        <v>КМС</v>
      </c>
      <c r="S26" s="93"/>
      <c r="U26" s="95">
        <v>3.8149305555555555E-4</v>
      </c>
      <c r="V26" s="95">
        <v>5.4548611111111117E-4</v>
      </c>
    </row>
    <row r="27" spans="1:22" ht="30.75" customHeight="1" x14ac:dyDescent="0.2">
      <c r="A27" s="83">
        <v>5</v>
      </c>
      <c r="B27" s="84">
        <v>9</v>
      </c>
      <c r="C27" s="85">
        <f>IF(ISBLANK($B27),"",VLOOKUP($B27,[1]список!$B$1:$G$544,2,0))</f>
        <v>10065490441</v>
      </c>
      <c r="D27" s="85" t="str">
        <f>IF(ISBLANK($B27),"",VLOOKUP($B27,[1]список!$B$1:$G$544,3,0))</f>
        <v>Скорняков Григорий</v>
      </c>
      <c r="E27" s="86">
        <f>IF(ISBLANK($B27),"",VLOOKUP($B27,[1]список!$B$1:$G$544,4,0))</f>
        <v>38304</v>
      </c>
      <c r="F27" s="86" t="str">
        <f>IF(ISBLANK($B27),"",VLOOKUP($B27,[1]список!$B$1:$H$544,5,0))</f>
        <v>МС</v>
      </c>
      <c r="G27" s="87" t="str">
        <f>IF(ISBLANK($B27),"",VLOOKUP($B27,[1]список!$B$1:$H$544,6,0))</f>
        <v>Санкт-Петербург</v>
      </c>
      <c r="H27" s="88">
        <v>2.3424768518518518E-4</v>
      </c>
      <c r="I27" s="89">
        <f t="shared" si="0"/>
        <v>17</v>
      </c>
      <c r="J27" s="88">
        <f t="shared" si="1"/>
        <v>1.6307870370370372E-4</v>
      </c>
      <c r="K27" s="89">
        <f t="shared" si="2"/>
        <v>10</v>
      </c>
      <c r="L27" s="88">
        <f t="shared" si="3"/>
        <v>1.6260416666666669E-4</v>
      </c>
      <c r="M27" s="89">
        <f t="shared" si="4"/>
        <v>2</v>
      </c>
      <c r="N27" s="88">
        <f t="shared" si="5"/>
        <v>1.6879629629629623E-4</v>
      </c>
      <c r="O27" s="89">
        <f t="shared" si="6"/>
        <v>1</v>
      </c>
      <c r="P27" s="90">
        <v>7.2872685185185182E-4</v>
      </c>
      <c r="Q27" s="91">
        <f t="shared" si="7"/>
        <v>57.142857142857146</v>
      </c>
      <c r="R27" s="92" t="str">
        <f t="shared" si="8"/>
        <v>КМС</v>
      </c>
      <c r="S27" s="93"/>
      <c r="U27" s="95">
        <v>3.973263888888889E-4</v>
      </c>
      <c r="V27" s="95">
        <v>5.5993055555555559E-4</v>
      </c>
    </row>
    <row r="28" spans="1:22" ht="30.75" customHeight="1" x14ac:dyDescent="0.2">
      <c r="A28" s="83">
        <v>6</v>
      </c>
      <c r="B28" s="84">
        <v>13</v>
      </c>
      <c r="C28" s="85">
        <f>IF(ISBLANK($B28),"",VLOOKUP($B28,[1]список!$B$1:$G$544,2,0))</f>
        <v>10103577792</v>
      </c>
      <c r="D28" s="85" t="str">
        <f>IF(ISBLANK($B28),"",VLOOKUP($B28,[1]список!$B$1:$G$544,3,0))</f>
        <v>Алексеев Лаврентий</v>
      </c>
      <c r="E28" s="86" t="str">
        <f>IF(ISBLANK($B28),"",VLOOKUP($B28,[1]список!$B$1:$G$544,4,0))</f>
        <v>12 12 2002</v>
      </c>
      <c r="F28" s="86" t="str">
        <f>IF(ISBLANK($B28),"",VLOOKUP($B28,[1]список!$B$1:$H$544,5,0))</f>
        <v>КМС</v>
      </c>
      <c r="G28" s="87" t="str">
        <f>IF(ISBLANK($B28),"",VLOOKUP($B28,[1]список!$B$1:$H$544,6,0))</f>
        <v>Санкт-Петербург</v>
      </c>
      <c r="H28" s="88">
        <v>2.2254629629629632E-4</v>
      </c>
      <c r="I28" s="89">
        <f t="shared" si="0"/>
        <v>7</v>
      </c>
      <c r="J28" s="88">
        <f t="shared" si="1"/>
        <v>1.5932870370370368E-4</v>
      </c>
      <c r="K28" s="89">
        <f t="shared" si="2"/>
        <v>3</v>
      </c>
      <c r="L28" s="88">
        <f t="shared" si="3"/>
        <v>1.6731481481481485E-4</v>
      </c>
      <c r="M28" s="89">
        <f t="shared" si="4"/>
        <v>7</v>
      </c>
      <c r="N28" s="88">
        <f t="shared" si="5"/>
        <v>1.8237268518518516E-4</v>
      </c>
      <c r="O28" s="89">
        <f t="shared" si="6"/>
        <v>8</v>
      </c>
      <c r="P28" s="90">
        <v>7.3156250000000001E-4</v>
      </c>
      <c r="Q28" s="91">
        <f t="shared" si="7"/>
        <v>57.142857142857146</v>
      </c>
      <c r="R28" s="92" t="str">
        <f t="shared" si="8"/>
        <v>КМС</v>
      </c>
      <c r="S28" s="93"/>
      <c r="U28" s="94">
        <v>3.81875E-4</v>
      </c>
      <c r="V28" s="94">
        <v>5.4918981481481485E-4</v>
      </c>
    </row>
    <row r="29" spans="1:22" ht="30.75" customHeight="1" x14ac:dyDescent="0.2">
      <c r="A29" s="83">
        <v>7</v>
      </c>
      <c r="B29" s="84">
        <v>90</v>
      </c>
      <c r="C29" s="85">
        <f>IF(ISBLANK($B29),"",VLOOKUP($B29,[1]список!$B$1:$G$544,2,0))</f>
        <v>10090441164</v>
      </c>
      <c r="D29" s="85" t="str">
        <f>IF(ISBLANK($B29),"",VLOOKUP($B29,[1]список!$B$1:$G$544,3,0))</f>
        <v>Годин Михаил</v>
      </c>
      <c r="E29" s="86">
        <f>IF(ISBLANK($B29),"",VLOOKUP($B29,[1]список!$B$1:$G$544,4,0))</f>
        <v>38312</v>
      </c>
      <c r="F29" s="86" t="str">
        <f>IF(ISBLANK($B29),"",VLOOKUP($B29,[1]список!$B$1:$H$544,5,0))</f>
        <v>МС</v>
      </c>
      <c r="G29" s="87" t="str">
        <f>IF(ISBLANK($B29),"",VLOOKUP($B29,[1]список!$B$1:$H$544,6,0))</f>
        <v>Санкт-Петербург</v>
      </c>
      <c r="H29" s="88">
        <v>2.2181712962962962E-4</v>
      </c>
      <c r="I29" s="89">
        <f t="shared" si="0"/>
        <v>5</v>
      </c>
      <c r="J29" s="88">
        <f t="shared" si="1"/>
        <v>1.6230324074074077E-4</v>
      </c>
      <c r="K29" s="89">
        <f t="shared" si="2"/>
        <v>7</v>
      </c>
      <c r="L29" s="88">
        <f t="shared" si="3"/>
        <v>1.7037037037037032E-4</v>
      </c>
      <c r="M29" s="89">
        <f t="shared" si="4"/>
        <v>8</v>
      </c>
      <c r="N29" s="88">
        <f t="shared" si="5"/>
        <v>1.8024305555555556E-4</v>
      </c>
      <c r="O29" s="89">
        <f t="shared" si="6"/>
        <v>7</v>
      </c>
      <c r="P29" s="90">
        <v>7.3473379629629626E-4</v>
      </c>
      <c r="Q29" s="91">
        <f t="shared" si="7"/>
        <v>57.142857142857146</v>
      </c>
      <c r="R29" s="92" t="str">
        <f t="shared" si="8"/>
        <v>КМС</v>
      </c>
      <c r="S29" s="93"/>
      <c r="U29" s="94">
        <v>3.8412037037037039E-4</v>
      </c>
      <c r="V29" s="94">
        <v>5.544907407407407E-4</v>
      </c>
    </row>
    <row r="30" spans="1:22" ht="30.75" customHeight="1" x14ac:dyDescent="0.2">
      <c r="A30" s="83">
        <v>8</v>
      </c>
      <c r="B30" s="84">
        <v>3</v>
      </c>
      <c r="C30" s="85">
        <f>IF(ISBLANK($B30),"",VLOOKUP($B30,[1]список!$B$1:$G$544,2,0))</f>
        <v>10036092771</v>
      </c>
      <c r="D30" s="85" t="str">
        <f>IF(ISBLANK($B30),"",VLOOKUP($B30,[1]список!$B$1:$G$544,3,0))</f>
        <v>Игошев Егор</v>
      </c>
      <c r="E30" s="86">
        <f>IF(ISBLANK($B30),"",VLOOKUP($B30,[1]список!$B$1:$G$544,4,0))</f>
        <v>37439</v>
      </c>
      <c r="F30" s="86" t="str">
        <f>IF(ISBLANK($B30),"",VLOOKUP($B30,[1]список!$B$1:$H$544,5,0))</f>
        <v>МСМК</v>
      </c>
      <c r="G30" s="87" t="str">
        <f>IF(ISBLANK($B30),"",VLOOKUP($B30,[1]список!$B$1:$H$544,6,0))</f>
        <v>Санкт-Петербург</v>
      </c>
      <c r="H30" s="88">
        <v>2.3109953703703704E-4</v>
      </c>
      <c r="I30" s="89">
        <f t="shared" si="0"/>
        <v>15</v>
      </c>
      <c r="J30" s="88">
        <f t="shared" si="1"/>
        <v>1.6644675925925925E-4</v>
      </c>
      <c r="K30" s="89">
        <f t="shared" si="2"/>
        <v>14</v>
      </c>
      <c r="L30" s="88">
        <f t="shared" si="3"/>
        <v>1.6663194444444446E-4</v>
      </c>
      <c r="M30" s="89">
        <f t="shared" si="4"/>
        <v>6</v>
      </c>
      <c r="N30" s="88">
        <f t="shared" si="5"/>
        <v>1.715740740740741E-4</v>
      </c>
      <c r="O30" s="89">
        <f t="shared" si="6"/>
        <v>2</v>
      </c>
      <c r="P30" s="90">
        <v>7.3575231481481484E-4</v>
      </c>
      <c r="Q30" s="91">
        <f t="shared" si="7"/>
        <v>56.25</v>
      </c>
      <c r="R30" s="92" t="str">
        <f t="shared" si="8"/>
        <v>КМС</v>
      </c>
      <c r="S30" s="93"/>
      <c r="U30" s="95">
        <v>3.9754629629629629E-4</v>
      </c>
      <c r="V30" s="95">
        <v>5.6417824074074074E-4</v>
      </c>
    </row>
    <row r="31" spans="1:22" ht="30.75" customHeight="1" x14ac:dyDescent="0.2">
      <c r="A31" s="83">
        <v>9</v>
      </c>
      <c r="B31" s="84">
        <v>143</v>
      </c>
      <c r="C31" s="85">
        <f>IF(ISBLANK($B31),"",VLOOKUP($B31,[1]список!$B$1:$G$544,2,0))</f>
        <v>10076776187</v>
      </c>
      <c r="D31" s="85" t="str">
        <f>IF(ISBLANK($B31),"",VLOOKUP($B31,[1]список!$B$1:$G$544,3,0))</f>
        <v>Попов Александр</v>
      </c>
      <c r="E31" s="86">
        <f>IF(ISBLANK($B31),"",VLOOKUP($B31,[1]список!$B$1:$G$544,4,0))</f>
        <v>37974</v>
      </c>
      <c r="F31" s="86" t="str">
        <f>IF(ISBLANK($B31),"",VLOOKUP($B31,[1]список!$B$1:$H$544,5,0))</f>
        <v>МС</v>
      </c>
      <c r="G31" s="87" t="str">
        <f>IF(ISBLANK($B31),"",VLOOKUP($B31,[1]список!$B$1:$H$544,6,0))</f>
        <v>Москва</v>
      </c>
      <c r="H31" s="88">
        <v>2.1997685185185187E-4</v>
      </c>
      <c r="I31" s="89">
        <f t="shared" si="0"/>
        <v>2</v>
      </c>
      <c r="J31" s="88">
        <f t="shared" si="1"/>
        <v>1.6297453703703713E-4</v>
      </c>
      <c r="K31" s="89">
        <f t="shared" si="2"/>
        <v>9</v>
      </c>
      <c r="L31" s="88">
        <f t="shared" si="3"/>
        <v>1.7219907407407402E-4</v>
      </c>
      <c r="M31" s="89">
        <f t="shared" si="4"/>
        <v>10</v>
      </c>
      <c r="N31" s="88">
        <f t="shared" si="5"/>
        <v>1.8906249999999999E-4</v>
      </c>
      <c r="O31" s="89">
        <f t="shared" si="6"/>
        <v>10</v>
      </c>
      <c r="P31" s="90">
        <v>7.4421296296296301E-4</v>
      </c>
      <c r="Q31" s="91">
        <f t="shared" si="7"/>
        <v>56.25</v>
      </c>
      <c r="R31" s="92" t="str">
        <f t="shared" si="8"/>
        <v>КМС</v>
      </c>
      <c r="S31" s="93"/>
      <c r="U31" s="94">
        <v>3.82951388888889E-4</v>
      </c>
      <c r="V31" s="94">
        <v>5.5515046296296302E-4</v>
      </c>
    </row>
    <row r="32" spans="1:22" ht="30.75" customHeight="1" x14ac:dyDescent="0.2">
      <c r="A32" s="83">
        <v>10</v>
      </c>
      <c r="B32" s="84">
        <v>139</v>
      </c>
      <c r="C32" s="85">
        <f>IF(ISBLANK($B32),"",VLOOKUP($B32,[1]список!$B$1:$G$544,2,0))</f>
        <v>10052469304</v>
      </c>
      <c r="D32" s="85" t="str">
        <f>IF(ISBLANK($B32),"",VLOOKUP($B32,[1]список!$B$1:$G$544,3,0))</f>
        <v>Головенец Ярослав</v>
      </c>
      <c r="E32" s="86">
        <f>IF(ISBLANK($B32),"",VLOOKUP($B32,[1]список!$B$1:$G$544,4,0))</f>
        <v>38141</v>
      </c>
      <c r="F32" s="86" t="str">
        <f>IF(ISBLANK($B32),"",VLOOKUP($B32,[1]список!$B$1:$H$544,5,0))</f>
        <v>МС</v>
      </c>
      <c r="G32" s="87" t="str">
        <f>IF(ISBLANK($B32),"",VLOOKUP($B32,[1]список!$B$1:$H$544,6,0))</f>
        <v>Москва</v>
      </c>
      <c r="H32" s="88">
        <v>2.2922453703703703E-4</v>
      </c>
      <c r="I32" s="89">
        <f t="shared" si="0"/>
        <v>13</v>
      </c>
      <c r="J32" s="88">
        <f t="shared" si="1"/>
        <v>1.6348379629629626E-4</v>
      </c>
      <c r="K32" s="89">
        <f t="shared" si="2"/>
        <v>12</v>
      </c>
      <c r="L32" s="88">
        <f t="shared" si="3"/>
        <v>1.7104166666666662E-4</v>
      </c>
      <c r="M32" s="89">
        <f t="shared" si="4"/>
        <v>9</v>
      </c>
      <c r="N32" s="88">
        <f t="shared" si="5"/>
        <v>1.8707175925925933E-4</v>
      </c>
      <c r="O32" s="89">
        <f t="shared" si="6"/>
        <v>9</v>
      </c>
      <c r="P32" s="90">
        <v>7.5082175925925924E-4</v>
      </c>
      <c r="Q32" s="91">
        <f t="shared" si="7"/>
        <v>55.384615384615387</v>
      </c>
      <c r="R32" s="92" t="str">
        <f t="shared" si="8"/>
        <v>КМС</v>
      </c>
      <c r="S32" s="93"/>
      <c r="U32" s="94">
        <v>3.9270833333333329E-4</v>
      </c>
      <c r="V32" s="94">
        <v>5.6374999999999991E-4</v>
      </c>
    </row>
    <row r="33" spans="1:22" ht="30.75" customHeight="1" x14ac:dyDescent="0.2">
      <c r="A33" s="83">
        <v>11</v>
      </c>
      <c r="B33" s="84">
        <v>110</v>
      </c>
      <c r="C33" s="85">
        <f>IF(ISBLANK($B33),"",VLOOKUP($B33,[1]список!$B$1:$G$544,2,0))</f>
        <v>10082411180</v>
      </c>
      <c r="D33" s="85" t="str">
        <f>IF(ISBLANK($B33),"",VLOOKUP($B33,[1]список!$B$1:$G$544,3,0))</f>
        <v>Меденец Богдан</v>
      </c>
      <c r="E33" s="86">
        <f>IF(ISBLANK($B33),"",VLOOKUP($B33,[1]список!$B$1:$G$544,4,0))</f>
        <v>38034</v>
      </c>
      <c r="F33" s="86" t="str">
        <f>IF(ISBLANK($B33),"",VLOOKUP($B33,[1]список!$B$1:$H$544,5,0))</f>
        <v>МС</v>
      </c>
      <c r="G33" s="87" t="str">
        <f>IF(ISBLANK($B33),"",VLOOKUP($B33,[1]список!$B$1:$H$544,6,0))</f>
        <v>Тульская область</v>
      </c>
      <c r="H33" s="88">
        <v>2.2218750000000003E-4</v>
      </c>
      <c r="I33" s="89">
        <f t="shared" si="0"/>
        <v>6</v>
      </c>
      <c r="J33" s="88">
        <f t="shared" si="1"/>
        <v>1.6297453703703697E-4</v>
      </c>
      <c r="K33" s="89">
        <f t="shared" si="2"/>
        <v>8</v>
      </c>
      <c r="L33" s="88">
        <f t="shared" si="3"/>
        <v>1.7519675925925933E-4</v>
      </c>
      <c r="M33" s="89">
        <f t="shared" si="4"/>
        <v>11</v>
      </c>
      <c r="N33" s="88">
        <f t="shared" si="5"/>
        <v>1.9606481481481493E-4</v>
      </c>
      <c r="O33" s="89">
        <f t="shared" si="6"/>
        <v>13</v>
      </c>
      <c r="P33" s="90">
        <v>7.5642361111111125E-4</v>
      </c>
      <c r="Q33" s="91">
        <f t="shared" si="7"/>
        <v>55.384615384615387</v>
      </c>
      <c r="R33" s="92" t="str">
        <f t="shared" si="8"/>
        <v>КМС</v>
      </c>
      <c r="S33" s="93"/>
      <c r="U33" s="94">
        <v>3.8516203703703699E-4</v>
      </c>
      <c r="V33" s="94">
        <v>5.6035879629629632E-4</v>
      </c>
    </row>
    <row r="34" spans="1:22" ht="30.75" customHeight="1" x14ac:dyDescent="0.2">
      <c r="A34" s="83">
        <v>12</v>
      </c>
      <c r="B34" s="84">
        <v>195</v>
      </c>
      <c r="C34" s="85">
        <f>IF(ISBLANK($B34),"",VLOOKUP($B34,[1]список!$B$1:$G$544,2,0))</f>
        <v>10059156745</v>
      </c>
      <c r="D34" s="85" t="str">
        <f>IF(ISBLANK($B34),"",VLOOKUP($B34,[1]список!$B$1:$G$544,3,0))</f>
        <v>Шевцов Андрей</v>
      </c>
      <c r="E34" s="86">
        <f>IF(ISBLANK($B34),"",VLOOKUP($B34,[1]список!$B$1:$G$544,4,0))</f>
        <v>37811</v>
      </c>
      <c r="F34" s="86" t="str">
        <f>IF(ISBLANK($B34),"",VLOOKUP($B34,[1]список!$B$1:$H$544,5,0))</f>
        <v>МС</v>
      </c>
      <c r="G34" s="87" t="str">
        <f>IF(ISBLANK($B34),"",VLOOKUP($B34,[1]список!$B$1:$H$544,6,0))</f>
        <v>Омская область</v>
      </c>
      <c r="H34" s="88">
        <v>2.270138888888889E-4</v>
      </c>
      <c r="I34" s="89">
        <f t="shared" si="0"/>
        <v>12</v>
      </c>
      <c r="J34" s="88">
        <f t="shared" si="1"/>
        <v>1.6318287037037045E-4</v>
      </c>
      <c r="K34" s="89">
        <f t="shared" si="2"/>
        <v>11</v>
      </c>
      <c r="L34" s="88">
        <f t="shared" si="3"/>
        <v>1.7528935185185177E-4</v>
      </c>
      <c r="M34" s="89">
        <f t="shared" si="4"/>
        <v>12</v>
      </c>
      <c r="N34" s="88">
        <f t="shared" si="5"/>
        <v>1.9097222222222215E-4</v>
      </c>
      <c r="O34" s="89">
        <f t="shared" si="6"/>
        <v>12</v>
      </c>
      <c r="P34" s="90">
        <v>7.5645833333333327E-4</v>
      </c>
      <c r="Q34" s="91">
        <f t="shared" si="7"/>
        <v>55.384615384615387</v>
      </c>
      <c r="R34" s="92" t="str">
        <f t="shared" si="8"/>
        <v>КМС</v>
      </c>
      <c r="S34" s="93"/>
      <c r="U34" s="94">
        <v>3.9019675925925935E-4</v>
      </c>
      <c r="V34" s="94">
        <v>5.6548611111111112E-4</v>
      </c>
    </row>
    <row r="35" spans="1:22" ht="30.75" customHeight="1" x14ac:dyDescent="0.2">
      <c r="A35" s="83">
        <v>13</v>
      </c>
      <c r="B35" s="84">
        <v>168</v>
      </c>
      <c r="C35" s="85">
        <f>IF(ISBLANK($B35),"",VLOOKUP($B35,[1]список!$B$1:$G$544,2,0))</f>
        <v>10036031844</v>
      </c>
      <c r="D35" s="85" t="str">
        <f>IF(ISBLANK($B35),"",VLOOKUP($B35,[1]список!$B$1:$G$544,3,0))</f>
        <v>Спирин Вениамин</v>
      </c>
      <c r="E35" s="86">
        <f>IF(ISBLANK($B35),"",VLOOKUP($B35,[1]список!$B$1:$G$544,4,0))</f>
        <v>36989</v>
      </c>
      <c r="F35" s="86" t="str">
        <f>IF(ISBLANK($B35),"",VLOOKUP($B35,[1]список!$B$1:$H$544,5,0))</f>
        <v>МС</v>
      </c>
      <c r="G35" s="87" t="str">
        <f>IF(ISBLANK($B35),"",VLOOKUP($B35,[1]список!$B$1:$H$544,6,0))</f>
        <v>Москва</v>
      </c>
      <c r="H35" s="88">
        <v>2.2179398148148148E-4</v>
      </c>
      <c r="I35" s="89">
        <f t="shared" si="0"/>
        <v>4</v>
      </c>
      <c r="J35" s="88">
        <f t="shared" si="1"/>
        <v>1.6024305555555559E-4</v>
      </c>
      <c r="K35" s="89">
        <f t="shared" si="2"/>
        <v>5</v>
      </c>
      <c r="L35" s="88">
        <f t="shared" si="3"/>
        <v>1.771527777777777E-4</v>
      </c>
      <c r="M35" s="89">
        <f t="shared" si="4"/>
        <v>13</v>
      </c>
      <c r="N35" s="88">
        <f t="shared" si="5"/>
        <v>1.9811342592592591E-4</v>
      </c>
      <c r="O35" s="89">
        <f t="shared" si="6"/>
        <v>15</v>
      </c>
      <c r="P35" s="90">
        <v>7.5730324074074068E-4</v>
      </c>
      <c r="Q35" s="91">
        <f t="shared" si="7"/>
        <v>55.384615384615387</v>
      </c>
      <c r="R35" s="92" t="str">
        <f t="shared" si="8"/>
        <v>КМС</v>
      </c>
      <c r="S35" s="93"/>
      <c r="U35" s="94">
        <v>3.8203703703703707E-4</v>
      </c>
      <c r="V35" s="94">
        <v>5.5918981481481477E-4</v>
      </c>
    </row>
    <row r="36" spans="1:22" ht="30.75" customHeight="1" x14ac:dyDescent="0.2">
      <c r="A36" s="83">
        <v>14</v>
      </c>
      <c r="B36" s="84">
        <v>169</v>
      </c>
      <c r="C36" s="85">
        <f>IF(ISBLANK($B36),"",VLOOKUP($B36,[1]список!$B$1:$G$544,2,0))</f>
        <v>10076948161</v>
      </c>
      <c r="D36" s="85" t="str">
        <f>IF(ISBLANK($B36),"",VLOOKUP($B36,[1]список!$B$1:$G$544,3,0))</f>
        <v>Явенков Александр</v>
      </c>
      <c r="E36" s="86">
        <f>IF(ISBLANK($B36),"",VLOOKUP($B36,[1]список!$B$1:$G$544,4,0))</f>
        <v>38092</v>
      </c>
      <c r="F36" s="86" t="str">
        <f>IF(ISBLANK($B36),"",VLOOKUP($B36,[1]список!$B$1:$H$544,5,0))</f>
        <v>КМС</v>
      </c>
      <c r="G36" s="87" t="str">
        <f>IF(ISBLANK($B36),"",VLOOKUP($B36,[1]список!$B$1:$H$544,6,0))</f>
        <v>Москва</v>
      </c>
      <c r="H36" s="88">
        <v>2.3111111111111111E-4</v>
      </c>
      <c r="I36" s="89">
        <f t="shared" si="0"/>
        <v>16</v>
      </c>
      <c r="J36" s="88">
        <f t="shared" si="1"/>
        <v>1.7175925925925922E-4</v>
      </c>
      <c r="K36" s="89">
        <f t="shared" si="2"/>
        <v>17</v>
      </c>
      <c r="L36" s="88">
        <f t="shared" si="3"/>
        <v>1.7743055555555562E-4</v>
      </c>
      <c r="M36" s="89">
        <f t="shared" si="4"/>
        <v>14</v>
      </c>
      <c r="N36" s="88">
        <f t="shared" si="5"/>
        <v>1.9012731481481485E-4</v>
      </c>
      <c r="O36" s="89">
        <f t="shared" si="6"/>
        <v>11</v>
      </c>
      <c r="P36" s="90">
        <v>7.704282407407408E-4</v>
      </c>
      <c r="Q36" s="91">
        <f t="shared" si="7"/>
        <v>53.731343283582092</v>
      </c>
      <c r="R36" s="92" t="str">
        <f t="shared" si="8"/>
        <v>КМС</v>
      </c>
      <c r="S36" s="93"/>
      <c r="U36" s="94">
        <v>4.0287037037037033E-4</v>
      </c>
      <c r="V36" s="94">
        <v>5.8030092592592595E-4</v>
      </c>
    </row>
    <row r="37" spans="1:22" ht="30.75" customHeight="1" x14ac:dyDescent="0.2">
      <c r="A37" s="83">
        <v>15</v>
      </c>
      <c r="B37" s="84">
        <v>167</v>
      </c>
      <c r="C37" s="85">
        <f>IF(ISBLANK($B37),"",VLOOKUP($B37,[1]список!$B$1:$G$544,2,0))</f>
        <v>10075648361</v>
      </c>
      <c r="D37" s="85" t="str">
        <f>IF(ISBLANK($B37),"",VLOOKUP($B37,[1]список!$B$1:$G$544,3,0))</f>
        <v>Величко Тимофей</v>
      </c>
      <c r="E37" s="86">
        <f>IF(ISBLANK($B37),"",VLOOKUP($B37,[1]список!$B$1:$G$544,4,0))</f>
        <v>38346</v>
      </c>
      <c r="F37" s="86" t="str">
        <f>IF(ISBLANK($B37),"",VLOOKUP($B37,[1]список!$B$1:$H$544,5,0))</f>
        <v>КМС</v>
      </c>
      <c r="G37" s="87" t="str">
        <f>IF(ISBLANK($B37),"",VLOOKUP($B37,[1]список!$B$1:$H$544,6,0))</f>
        <v>Москва</v>
      </c>
      <c r="H37" s="88">
        <v>2.2408564814814814E-4</v>
      </c>
      <c r="I37" s="89">
        <f t="shared" si="0"/>
        <v>8</v>
      </c>
      <c r="J37" s="88">
        <f t="shared" si="1"/>
        <v>1.6810185185185182E-4</v>
      </c>
      <c r="K37" s="89">
        <f t="shared" si="2"/>
        <v>15</v>
      </c>
      <c r="L37" s="88">
        <f t="shared" si="3"/>
        <v>1.806481481481482E-4</v>
      </c>
      <c r="M37" s="89">
        <f t="shared" si="4"/>
        <v>15</v>
      </c>
      <c r="N37" s="88">
        <f t="shared" si="5"/>
        <v>1.9775462962962954E-4</v>
      </c>
      <c r="O37" s="89">
        <f t="shared" si="6"/>
        <v>14</v>
      </c>
      <c r="P37" s="90">
        <v>7.705902777777777E-4</v>
      </c>
      <c r="Q37" s="91">
        <f t="shared" si="7"/>
        <v>53.731343283582092</v>
      </c>
      <c r="R37" s="92" t="str">
        <f t="shared" si="8"/>
        <v>КМС</v>
      </c>
      <c r="S37" s="93"/>
      <c r="U37" s="94">
        <v>3.9218749999999996E-4</v>
      </c>
      <c r="V37" s="94">
        <v>5.7283564814814816E-4</v>
      </c>
    </row>
    <row r="38" spans="1:22" ht="30.75" customHeight="1" x14ac:dyDescent="0.2">
      <c r="A38" s="83">
        <v>16</v>
      </c>
      <c r="B38" s="84">
        <v>144</v>
      </c>
      <c r="C38" s="85">
        <f>IF(ISBLANK($B38),"",VLOOKUP($B38,[1]список!$B$1:$G$544,2,0))</f>
        <v>10036021740</v>
      </c>
      <c r="D38" s="85" t="str">
        <f>IF(ISBLANK($B38),"",VLOOKUP($B38,[1]список!$B$1:$G$544,3,0))</f>
        <v>Шерстеникин Алексей</v>
      </c>
      <c r="E38" s="86">
        <f>IF(ISBLANK($B38),"",VLOOKUP($B38,[1]список!$B$1:$G$544,4,0))</f>
        <v>37340</v>
      </c>
      <c r="F38" s="86" t="str">
        <f>IF(ISBLANK($B38),"",VLOOKUP($B38,[1]список!$B$1:$H$544,5,0))</f>
        <v>МС</v>
      </c>
      <c r="G38" s="87" t="str">
        <f>IF(ISBLANK($B38),"",VLOOKUP($B38,[1]список!$B$1:$H$544,6,0))</f>
        <v>Москва</v>
      </c>
      <c r="H38" s="88">
        <v>2.1811342592592593E-4</v>
      </c>
      <c r="I38" s="89">
        <f t="shared" si="0"/>
        <v>1</v>
      </c>
      <c r="J38" s="88">
        <f t="shared" si="1"/>
        <v>1.649537037037037E-4</v>
      </c>
      <c r="K38" s="89">
        <f t="shared" si="2"/>
        <v>13</v>
      </c>
      <c r="L38" s="88">
        <f t="shared" si="3"/>
        <v>1.8457175925925916E-4</v>
      </c>
      <c r="M38" s="89">
        <f t="shared" si="4"/>
        <v>18</v>
      </c>
      <c r="N38" s="88">
        <f t="shared" si="5"/>
        <v>2.0656250000000004E-4</v>
      </c>
      <c r="O38" s="89">
        <f t="shared" si="6"/>
        <v>18</v>
      </c>
      <c r="P38" s="90">
        <v>7.7420138888888883E-4</v>
      </c>
      <c r="Q38" s="91">
        <f t="shared" si="7"/>
        <v>53.731343283582092</v>
      </c>
      <c r="R38" s="92" t="str">
        <f t="shared" si="8"/>
        <v>КМС</v>
      </c>
      <c r="S38" s="93"/>
      <c r="U38" s="94">
        <v>3.8306712962962963E-4</v>
      </c>
      <c r="V38" s="94">
        <v>5.6763888888888879E-4</v>
      </c>
    </row>
    <row r="39" spans="1:22" ht="30.75" customHeight="1" x14ac:dyDescent="0.2">
      <c r="A39" s="83">
        <v>17</v>
      </c>
      <c r="B39" s="84">
        <v>196</v>
      </c>
      <c r="C39" s="85">
        <f>IF(ISBLANK($B39),"",VLOOKUP($B39,[1]список!$B$1:$G$544,2,0))</f>
        <v>10062192643</v>
      </c>
      <c r="D39" s="85" t="str">
        <f>IF(ISBLANK($B39),"",VLOOKUP($B39,[1]список!$B$1:$G$544,3,0))</f>
        <v>Бурдыгин Глеб</v>
      </c>
      <c r="E39" s="86">
        <f>IF(ISBLANK($B39),"",VLOOKUP($B39,[1]список!$B$1:$G$544,4,0))</f>
        <v>37355</v>
      </c>
      <c r="F39" s="86" t="str">
        <f>IF(ISBLANK($B39),"",VLOOKUP($B39,[1]список!$B$1:$H$544,5,0))</f>
        <v>КМС</v>
      </c>
      <c r="G39" s="87" t="str">
        <f>IF(ISBLANK($B39),"",VLOOKUP($B39,[1]список!$B$1:$H$544,6,0))</f>
        <v>Омская область</v>
      </c>
      <c r="H39" s="88">
        <v>2.2461805555555557E-4</v>
      </c>
      <c r="I39" s="89">
        <f t="shared" si="0"/>
        <v>9</v>
      </c>
      <c r="J39" s="88">
        <f t="shared" si="1"/>
        <v>1.6873842592592589E-4</v>
      </c>
      <c r="K39" s="89">
        <f t="shared" si="2"/>
        <v>16</v>
      </c>
      <c r="L39" s="88">
        <f t="shared" si="3"/>
        <v>1.8298611111111114E-4</v>
      </c>
      <c r="M39" s="89">
        <f t="shared" si="4"/>
        <v>17</v>
      </c>
      <c r="N39" s="88">
        <f t="shared" si="5"/>
        <v>2.008680555555557E-4</v>
      </c>
      <c r="O39" s="89">
        <f t="shared" si="6"/>
        <v>17</v>
      </c>
      <c r="P39" s="90">
        <v>7.7721064814814829E-4</v>
      </c>
      <c r="Q39" s="91">
        <f t="shared" si="7"/>
        <v>53.731343283582092</v>
      </c>
      <c r="R39" s="92" t="str">
        <f t="shared" si="8"/>
        <v>КМС</v>
      </c>
      <c r="S39" s="93"/>
      <c r="U39" s="94">
        <v>3.9335648148148145E-4</v>
      </c>
      <c r="V39" s="94">
        <v>5.763425925925926E-4</v>
      </c>
    </row>
    <row r="40" spans="1:22" ht="30.75" customHeight="1" thickBot="1" x14ac:dyDescent="0.25">
      <c r="A40" s="83">
        <v>18</v>
      </c>
      <c r="B40" s="84">
        <v>197</v>
      </c>
      <c r="C40" s="85">
        <f>IF(ISBLANK($B40),"",VLOOKUP($B40,[1]список!$B$1:$G$544,2,0))</f>
        <v>10054592186</v>
      </c>
      <c r="D40" s="85" t="str">
        <f>IF(ISBLANK($B40),"",VLOOKUP($B40,[1]список!$B$1:$G$544,3,0))</f>
        <v>Кузнецов Данила</v>
      </c>
      <c r="E40" s="86">
        <f>IF(ISBLANK($B40),"",VLOOKUP($B40,[1]список!$B$1:$G$544,4,0))</f>
        <v>37400</v>
      </c>
      <c r="F40" s="86" t="str">
        <f>IF(ISBLANK($B40),"",VLOOKUP($B40,[1]список!$B$1:$H$544,5,0))</f>
        <v>КМС</v>
      </c>
      <c r="G40" s="87" t="str">
        <f>IF(ISBLANK($B40),"",VLOOKUP($B40,[1]список!$B$1:$H$544,6,0))</f>
        <v>Омская область</v>
      </c>
      <c r="H40" s="88">
        <v>2.3502314814814816E-4</v>
      </c>
      <c r="I40" s="89">
        <f t="shared" si="0"/>
        <v>18</v>
      </c>
      <c r="J40" s="88">
        <f t="shared" si="1"/>
        <v>1.7527777777777783E-4</v>
      </c>
      <c r="K40" s="89">
        <f t="shared" si="2"/>
        <v>18</v>
      </c>
      <c r="L40" s="88">
        <f t="shared" si="3"/>
        <v>1.8199074074074065E-4</v>
      </c>
      <c r="M40" s="89">
        <f t="shared" si="4"/>
        <v>16</v>
      </c>
      <c r="N40" s="88">
        <f t="shared" si="5"/>
        <v>1.9839120370370366E-4</v>
      </c>
      <c r="O40" s="89">
        <f t="shared" si="6"/>
        <v>16</v>
      </c>
      <c r="P40" s="90">
        <v>7.906828703703703E-4</v>
      </c>
      <c r="Q40" s="91">
        <f t="shared" si="7"/>
        <v>52.941176470588232</v>
      </c>
      <c r="R40" s="92" t="str">
        <f t="shared" si="8"/>
        <v>1 СР</v>
      </c>
      <c r="S40" s="93"/>
      <c r="U40" s="94">
        <v>4.1030092592592599E-4</v>
      </c>
      <c r="V40" s="94">
        <v>5.9229166666666664E-4</v>
      </c>
    </row>
    <row r="41" spans="1:22" ht="23.25" hidden="1" customHeight="1" x14ac:dyDescent="0.2">
      <c r="A41" s="83"/>
      <c r="B41" s="96"/>
      <c r="C41" s="85"/>
      <c r="D41" s="85"/>
      <c r="E41" s="86"/>
      <c r="F41" s="86"/>
      <c r="G41" s="87"/>
      <c r="H41" s="88"/>
      <c r="I41" s="89"/>
      <c r="J41" s="88"/>
      <c r="K41" s="89"/>
      <c r="L41" s="88"/>
      <c r="M41" s="89"/>
      <c r="N41" s="88"/>
      <c r="O41" s="89"/>
      <c r="P41" s="90"/>
      <c r="Q41" s="91"/>
      <c r="R41" s="92"/>
      <c r="S41" s="93"/>
    </row>
    <row r="42" spans="1:22" ht="23.25" hidden="1" customHeight="1" x14ac:dyDescent="0.2">
      <c r="A42" s="83"/>
      <c r="B42" s="96"/>
      <c r="C42" s="85"/>
      <c r="D42" s="85"/>
      <c r="E42" s="86"/>
      <c r="F42" s="86"/>
      <c r="G42" s="87"/>
      <c r="H42" s="88"/>
      <c r="I42" s="89"/>
      <c r="J42" s="88"/>
      <c r="K42" s="89"/>
      <c r="L42" s="88"/>
      <c r="M42" s="89"/>
      <c r="N42" s="88"/>
      <c r="O42" s="89"/>
      <c r="P42" s="90"/>
      <c r="Q42" s="91"/>
      <c r="R42" s="92"/>
      <c r="S42" s="93"/>
    </row>
    <row r="43" spans="1:22" ht="23.25" hidden="1" customHeight="1" x14ac:dyDescent="0.2">
      <c r="A43" s="83"/>
      <c r="B43" s="96"/>
      <c r="C43" s="85"/>
      <c r="D43" s="85"/>
      <c r="E43" s="86"/>
      <c r="F43" s="86"/>
      <c r="G43" s="87"/>
      <c r="H43" s="88"/>
      <c r="I43" s="89"/>
      <c r="J43" s="88"/>
      <c r="K43" s="89"/>
      <c r="L43" s="88"/>
      <c r="M43" s="89"/>
      <c r="N43" s="88"/>
      <c r="O43" s="89"/>
      <c r="P43" s="90"/>
      <c r="Q43" s="91"/>
      <c r="R43" s="92"/>
      <c r="S43" s="93"/>
    </row>
    <row r="44" spans="1:22" ht="23.25" hidden="1" customHeight="1" x14ac:dyDescent="0.2">
      <c r="A44" s="83"/>
      <c r="B44" s="96"/>
      <c r="C44" s="85"/>
      <c r="D44" s="85"/>
      <c r="E44" s="86"/>
      <c r="F44" s="86"/>
      <c r="G44" s="87"/>
      <c r="H44" s="88"/>
      <c r="I44" s="89"/>
      <c r="J44" s="88"/>
      <c r="K44" s="89"/>
      <c r="L44" s="88"/>
      <c r="M44" s="89"/>
      <c r="N44" s="88"/>
      <c r="O44" s="89"/>
      <c r="P44" s="90"/>
      <c r="Q44" s="91"/>
      <c r="R44" s="92"/>
      <c r="S44" s="93"/>
    </row>
    <row r="45" spans="1:22" ht="23.25" hidden="1" customHeight="1" x14ac:dyDescent="0.2">
      <c r="A45" s="83"/>
      <c r="B45" s="96"/>
      <c r="C45" s="85"/>
      <c r="D45" s="85"/>
      <c r="E45" s="86"/>
      <c r="F45" s="86"/>
      <c r="G45" s="87"/>
      <c r="H45" s="88"/>
      <c r="I45" s="89"/>
      <c r="J45" s="88"/>
      <c r="K45" s="89"/>
      <c r="L45" s="88"/>
      <c r="M45" s="89"/>
      <c r="N45" s="88"/>
      <c r="O45" s="89"/>
      <c r="P45" s="90"/>
      <c r="Q45" s="91"/>
      <c r="R45" s="92"/>
      <c r="S45" s="93"/>
    </row>
    <row r="46" spans="1:22" ht="23.25" hidden="1" customHeight="1" x14ac:dyDescent="0.2">
      <c r="A46" s="83"/>
      <c r="B46" s="96"/>
      <c r="C46" s="85"/>
      <c r="D46" s="85"/>
      <c r="E46" s="86"/>
      <c r="F46" s="86"/>
      <c r="G46" s="87"/>
      <c r="H46" s="88"/>
      <c r="I46" s="89"/>
      <c r="J46" s="88"/>
      <c r="K46" s="89"/>
      <c r="L46" s="88"/>
      <c r="M46" s="89"/>
      <c r="N46" s="88"/>
      <c r="O46" s="89"/>
      <c r="P46" s="90"/>
      <c r="Q46" s="91"/>
      <c r="R46" s="92"/>
      <c r="S46" s="93"/>
    </row>
    <row r="47" spans="1:22" ht="23.25" hidden="1" customHeight="1" x14ac:dyDescent="0.2">
      <c r="A47" s="83"/>
      <c r="B47" s="96"/>
      <c r="C47" s="85"/>
      <c r="D47" s="85"/>
      <c r="E47" s="86"/>
      <c r="F47" s="86"/>
      <c r="G47" s="87"/>
      <c r="H47" s="88"/>
      <c r="I47" s="89"/>
      <c r="J47" s="88"/>
      <c r="K47" s="89"/>
      <c r="L47" s="88"/>
      <c r="M47" s="89"/>
      <c r="N47" s="88"/>
      <c r="O47" s="89"/>
      <c r="P47" s="90"/>
      <c r="Q47" s="91"/>
      <c r="R47" s="92"/>
      <c r="S47" s="93"/>
    </row>
    <row r="48" spans="1:22" ht="23.25" hidden="1" customHeight="1" x14ac:dyDescent="0.2">
      <c r="A48" s="83"/>
      <c r="B48" s="96"/>
      <c r="C48" s="85"/>
      <c r="D48" s="85"/>
      <c r="E48" s="86"/>
      <c r="F48" s="86"/>
      <c r="G48" s="87"/>
      <c r="H48" s="88"/>
      <c r="I48" s="89"/>
      <c r="J48" s="88"/>
      <c r="K48" s="89"/>
      <c r="L48" s="88"/>
      <c r="M48" s="89"/>
      <c r="N48" s="88"/>
      <c r="O48" s="89"/>
      <c r="P48" s="90"/>
      <c r="Q48" s="91"/>
      <c r="R48" s="92"/>
      <c r="S48" s="93"/>
    </row>
    <row r="49" spans="1:19" ht="23.25" hidden="1" customHeight="1" x14ac:dyDescent="0.2">
      <c r="A49" s="83"/>
      <c r="B49" s="96"/>
      <c r="C49" s="85"/>
      <c r="D49" s="85"/>
      <c r="E49" s="86"/>
      <c r="F49" s="86"/>
      <c r="G49" s="87"/>
      <c r="H49" s="88"/>
      <c r="I49" s="89"/>
      <c r="J49" s="88"/>
      <c r="K49" s="89"/>
      <c r="L49" s="88"/>
      <c r="M49" s="89"/>
      <c r="N49" s="88"/>
      <c r="O49" s="89"/>
      <c r="P49" s="90"/>
      <c r="Q49" s="91"/>
      <c r="R49" s="92"/>
      <c r="S49" s="93"/>
    </row>
    <row r="50" spans="1:19" ht="23.25" hidden="1" customHeight="1" x14ac:dyDescent="0.2">
      <c r="A50" s="83"/>
      <c r="B50" s="96"/>
      <c r="C50" s="85"/>
      <c r="D50" s="85"/>
      <c r="E50" s="86"/>
      <c r="F50" s="86"/>
      <c r="G50" s="87"/>
      <c r="H50" s="88"/>
      <c r="I50" s="89"/>
      <c r="J50" s="88"/>
      <c r="K50" s="89"/>
      <c r="L50" s="88"/>
      <c r="M50" s="89"/>
      <c r="N50" s="88"/>
      <c r="O50" s="89"/>
      <c r="P50" s="90"/>
      <c r="Q50" s="91"/>
      <c r="R50" s="92"/>
      <c r="S50" s="93"/>
    </row>
    <row r="51" spans="1:19" ht="23.25" hidden="1" customHeight="1" x14ac:dyDescent="0.2">
      <c r="A51" s="83"/>
      <c r="B51" s="96"/>
      <c r="C51" s="85"/>
      <c r="D51" s="85"/>
      <c r="E51" s="86"/>
      <c r="F51" s="86"/>
      <c r="G51" s="87"/>
      <c r="H51" s="88"/>
      <c r="I51" s="89"/>
      <c r="J51" s="88"/>
      <c r="K51" s="89"/>
      <c r="L51" s="88"/>
      <c r="M51" s="89"/>
      <c r="N51" s="88"/>
      <c r="O51" s="89"/>
      <c r="P51" s="90"/>
      <c r="Q51" s="91"/>
      <c r="R51" s="92"/>
      <c r="S51" s="93"/>
    </row>
    <row r="52" spans="1:19" ht="23.25" hidden="1" customHeight="1" x14ac:dyDescent="0.2">
      <c r="A52" s="83"/>
      <c r="B52" s="97"/>
      <c r="C52" s="85"/>
      <c r="D52" s="85"/>
      <c r="E52" s="86"/>
      <c r="F52" s="86"/>
      <c r="G52" s="87"/>
      <c r="H52" s="88"/>
      <c r="I52" s="89"/>
      <c r="J52" s="88"/>
      <c r="K52" s="89"/>
      <c r="L52" s="88"/>
      <c r="M52" s="89"/>
      <c r="N52" s="88"/>
      <c r="O52" s="89"/>
      <c r="P52" s="90"/>
      <c r="Q52" s="91"/>
      <c r="R52" s="92"/>
      <c r="S52" s="93"/>
    </row>
    <row r="53" spans="1:19" ht="8.25" customHeight="1" thickTop="1" thickBot="1" x14ac:dyDescent="0.25">
      <c r="A53" s="98"/>
      <c r="B53" s="99"/>
      <c r="C53" s="100"/>
      <c r="D53" s="101"/>
      <c r="E53" s="102"/>
      <c r="F53" s="103"/>
      <c r="G53" s="104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7"/>
      <c r="S53" s="108"/>
    </row>
    <row r="54" spans="1:19" ht="15.75" thickTop="1" x14ac:dyDescent="0.2">
      <c r="A54" s="109" t="s">
        <v>44</v>
      </c>
      <c r="B54" s="110"/>
      <c r="C54" s="110"/>
      <c r="D54" s="110"/>
      <c r="E54" s="111"/>
      <c r="F54" s="111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2"/>
    </row>
    <row r="55" spans="1:19" x14ac:dyDescent="0.2">
      <c r="A55" s="113" t="s">
        <v>45</v>
      </c>
      <c r="B55" s="113"/>
      <c r="C55" s="114"/>
      <c r="D55" s="113"/>
      <c r="E55" s="115"/>
      <c r="F55" s="113"/>
      <c r="G55" s="116" t="s">
        <v>46</v>
      </c>
      <c r="H55" s="117">
        <v>3</v>
      </c>
      <c r="I55" s="118"/>
      <c r="J55" s="119" t="s">
        <v>47</v>
      </c>
      <c r="K55" s="116">
        <f>COUNTIF(F23:F50,"ЗМС")</f>
        <v>0</v>
      </c>
      <c r="L55" s="117"/>
      <c r="M55" s="117"/>
      <c r="N55" s="117"/>
      <c r="O55" s="117"/>
      <c r="P55" s="118"/>
      <c r="Q55" s="120"/>
      <c r="R55" s="119"/>
      <c r="S55" s="116"/>
    </row>
    <row r="56" spans="1:19" x14ac:dyDescent="0.2">
      <c r="A56" s="113" t="s">
        <v>48</v>
      </c>
      <c r="B56" s="113"/>
      <c r="C56" s="114"/>
      <c r="D56" s="113"/>
      <c r="E56" s="115"/>
      <c r="F56" s="113"/>
      <c r="G56" s="114" t="s">
        <v>49</v>
      </c>
      <c r="H56" s="117">
        <f>H57+H61</f>
        <v>18</v>
      </c>
      <c r="I56" s="118"/>
      <c r="J56" s="119" t="s">
        <v>50</v>
      </c>
      <c r="K56" s="116">
        <f>COUNTIF(F23:F50,"МСМК")</f>
        <v>3</v>
      </c>
      <c r="L56" s="117"/>
      <c r="M56" s="117"/>
      <c r="N56" s="117"/>
      <c r="O56" s="117"/>
      <c r="P56" s="118"/>
      <c r="Q56" s="120"/>
      <c r="R56" s="119"/>
      <c r="S56" s="116"/>
    </row>
    <row r="57" spans="1:19" x14ac:dyDescent="0.2">
      <c r="A57" s="113"/>
      <c r="B57" s="113"/>
      <c r="C57" s="114"/>
      <c r="D57" s="113"/>
      <c r="E57" s="115"/>
      <c r="F57" s="113"/>
      <c r="G57" s="114" t="s">
        <v>51</v>
      </c>
      <c r="H57" s="117">
        <f>H58+H59+H60</f>
        <v>18</v>
      </c>
      <c r="I57" s="118"/>
      <c r="J57" s="119" t="s">
        <v>52</v>
      </c>
      <c r="K57" s="116">
        <f>COUNTIF(F23:F50,"МС")</f>
        <v>9</v>
      </c>
      <c r="L57" s="117"/>
      <c r="M57" s="117"/>
      <c r="N57" s="117"/>
      <c r="O57" s="117"/>
      <c r="P57" s="118"/>
      <c r="Q57" s="120"/>
      <c r="R57" s="119"/>
      <c r="S57" s="116"/>
    </row>
    <row r="58" spans="1:19" x14ac:dyDescent="0.2">
      <c r="A58" s="113"/>
      <c r="B58" s="113"/>
      <c r="C58" s="114"/>
      <c r="D58" s="113"/>
      <c r="E58" s="115"/>
      <c r="F58" s="113"/>
      <c r="G58" s="114" t="s">
        <v>53</v>
      </c>
      <c r="H58" s="117">
        <f>COUNT(A23:A50)</f>
        <v>18</v>
      </c>
      <c r="I58" s="118"/>
      <c r="J58" s="119" t="s">
        <v>54</v>
      </c>
      <c r="K58" s="116">
        <f>COUNTIF(F23:F50,"КМС")</f>
        <v>6</v>
      </c>
      <c r="L58" s="117"/>
      <c r="M58" s="117"/>
      <c r="N58" s="117"/>
      <c r="O58" s="117"/>
      <c r="P58" s="118"/>
      <c r="Q58" s="120"/>
      <c r="R58" s="119"/>
      <c r="S58" s="116"/>
    </row>
    <row r="59" spans="1:19" x14ac:dyDescent="0.2">
      <c r="A59" s="113"/>
      <c r="B59" s="113"/>
      <c r="C59" s="114"/>
      <c r="D59" s="113"/>
      <c r="E59" s="115"/>
      <c r="F59" s="113"/>
      <c r="G59" s="114" t="s">
        <v>55</v>
      </c>
      <c r="H59" s="117">
        <f>COUNTIF(A23:A50,"НФ")</f>
        <v>0</v>
      </c>
      <c r="I59" s="118"/>
      <c r="J59" s="119" t="s">
        <v>56</v>
      </c>
      <c r="K59" s="116">
        <f>COUNTIF(F23:F50,"1 СР")</f>
        <v>0</v>
      </c>
      <c r="L59" s="117"/>
      <c r="M59" s="117"/>
      <c r="N59" s="117"/>
      <c r="O59" s="117"/>
      <c r="P59" s="118"/>
      <c r="Q59" s="120"/>
      <c r="R59" s="119"/>
      <c r="S59" s="116"/>
    </row>
    <row r="60" spans="1:19" x14ac:dyDescent="0.2">
      <c r="A60" s="113"/>
      <c r="B60" s="113"/>
      <c r="C60" s="114"/>
      <c r="D60" s="113"/>
      <c r="E60" s="115"/>
      <c r="F60" s="113"/>
      <c r="G60" s="114" t="s">
        <v>57</v>
      </c>
      <c r="H60" s="117">
        <f>COUNTIF(A23:A50,"ДСКВ")</f>
        <v>0</v>
      </c>
      <c r="I60" s="118"/>
      <c r="J60" s="120" t="s">
        <v>58</v>
      </c>
      <c r="K60" s="116">
        <f>COUNTIF(F23:F50,"2 СР")</f>
        <v>0</v>
      </c>
      <c r="L60" s="117"/>
      <c r="M60" s="117"/>
      <c r="N60" s="117"/>
      <c r="O60" s="117"/>
      <c r="P60" s="118"/>
      <c r="Q60" s="120"/>
      <c r="R60" s="119"/>
      <c r="S60" s="116"/>
    </row>
    <row r="61" spans="1:19" x14ac:dyDescent="0.2">
      <c r="A61" s="113"/>
      <c r="B61" s="113"/>
      <c r="C61" s="114"/>
      <c r="D61" s="113"/>
      <c r="E61" s="115"/>
      <c r="F61" s="113"/>
      <c r="G61" s="114" t="s">
        <v>59</v>
      </c>
      <c r="H61" s="117">
        <f>COUNTIF(A23:A50,"НС")</f>
        <v>0</v>
      </c>
      <c r="I61" s="118"/>
      <c r="J61" s="120" t="s">
        <v>60</v>
      </c>
      <c r="K61" s="116">
        <f>COUNTIF(F23:F50,"3 СР")</f>
        <v>0</v>
      </c>
      <c r="L61" s="117"/>
      <c r="M61" s="117"/>
      <c r="N61" s="117"/>
      <c r="O61" s="117"/>
      <c r="P61" s="118"/>
      <c r="Q61" s="120"/>
      <c r="R61" s="119"/>
      <c r="S61" s="116"/>
    </row>
    <row r="62" spans="1:19" x14ac:dyDescent="0.2">
      <c r="A62" s="113"/>
      <c r="B62" s="121"/>
      <c r="C62" s="121"/>
      <c r="D62" s="113"/>
      <c r="E62" s="115"/>
      <c r="F62" s="113"/>
      <c r="G62" s="113"/>
      <c r="H62" s="122"/>
      <c r="I62" s="122"/>
      <c r="J62" s="122"/>
      <c r="K62" s="122"/>
      <c r="L62" s="122"/>
      <c r="M62" s="122"/>
      <c r="N62" s="122"/>
      <c r="O62" s="122"/>
      <c r="P62" s="122"/>
      <c r="Q62" s="120"/>
      <c r="R62" s="113"/>
      <c r="S62" s="113"/>
    </row>
    <row r="63" spans="1:19" ht="15" x14ac:dyDescent="0.2">
      <c r="A63" s="36"/>
      <c r="B63" s="37"/>
      <c r="C63" s="37"/>
      <c r="D63" s="37"/>
      <c r="E63" s="37" t="s">
        <v>61</v>
      </c>
      <c r="F63" s="37"/>
      <c r="G63" s="37"/>
      <c r="H63" s="37" t="s">
        <v>62</v>
      </c>
      <c r="I63" s="37"/>
      <c r="J63" s="37"/>
      <c r="K63" s="37"/>
      <c r="L63" s="37"/>
      <c r="M63" s="37"/>
      <c r="N63" s="37"/>
      <c r="O63" s="37"/>
      <c r="P63" s="37"/>
      <c r="Q63" s="37" t="s">
        <v>63</v>
      </c>
      <c r="R63" s="37"/>
      <c r="S63" s="123"/>
    </row>
    <row r="64" spans="1:19" x14ac:dyDescent="0.2">
      <c r="A64" s="124"/>
      <c r="B64" s="2"/>
      <c r="C64" s="2"/>
      <c r="D64" s="2"/>
      <c r="E64" s="2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6"/>
    </row>
    <row r="65" spans="1:19" x14ac:dyDescent="0.2">
      <c r="A65" s="127"/>
      <c r="B65" s="128"/>
      <c r="C65" s="128"/>
      <c r="D65" s="128"/>
      <c r="E65" s="129"/>
      <c r="F65" s="128"/>
      <c r="G65" s="128"/>
      <c r="H65" s="130"/>
      <c r="I65" s="130"/>
      <c r="J65" s="130"/>
      <c r="K65" s="130"/>
      <c r="L65" s="130"/>
      <c r="M65" s="130"/>
      <c r="N65" s="130"/>
      <c r="O65" s="130"/>
      <c r="P65" s="130"/>
      <c r="Q65" s="128"/>
      <c r="R65" s="128"/>
      <c r="S65" s="131"/>
    </row>
    <row r="66" spans="1:19" x14ac:dyDescent="0.2">
      <c r="A66" s="127"/>
      <c r="B66" s="128"/>
      <c r="C66" s="128"/>
      <c r="D66" s="128"/>
      <c r="E66" s="129"/>
      <c r="F66" s="128"/>
      <c r="G66" s="128"/>
      <c r="H66" s="130"/>
      <c r="I66" s="130"/>
      <c r="J66" s="130"/>
      <c r="K66" s="130"/>
      <c r="L66" s="130"/>
      <c r="M66" s="130"/>
      <c r="N66" s="130"/>
      <c r="O66" s="130"/>
      <c r="P66" s="130"/>
      <c r="Q66" s="128"/>
      <c r="R66" s="128"/>
      <c r="S66" s="131"/>
    </row>
    <row r="67" spans="1:19" x14ac:dyDescent="0.2">
      <c r="A67" s="127"/>
      <c r="B67" s="128"/>
      <c r="C67" s="128"/>
      <c r="D67" s="128"/>
      <c r="E67" s="129"/>
      <c r="F67" s="128"/>
      <c r="G67" s="128"/>
      <c r="H67" s="130"/>
      <c r="I67" s="130"/>
      <c r="J67" s="130"/>
      <c r="K67" s="130"/>
      <c r="L67" s="130"/>
      <c r="M67" s="130"/>
      <c r="N67" s="130"/>
      <c r="O67" s="130"/>
      <c r="P67" s="130"/>
      <c r="Q67" s="128"/>
      <c r="R67" s="128"/>
      <c r="S67" s="131"/>
    </row>
    <row r="68" spans="1:19" x14ac:dyDescent="0.2">
      <c r="A68" s="127"/>
      <c r="B68" s="128"/>
      <c r="C68" s="128"/>
      <c r="D68" s="128"/>
      <c r="E68" s="129"/>
      <c r="F68" s="128"/>
      <c r="G68" s="128"/>
      <c r="H68" s="130"/>
      <c r="I68" s="130"/>
      <c r="J68" s="130"/>
      <c r="K68" s="130"/>
      <c r="L68" s="130"/>
      <c r="M68" s="130"/>
      <c r="N68" s="130"/>
      <c r="O68" s="130"/>
      <c r="P68" s="130"/>
      <c r="Q68" s="132"/>
      <c r="R68" s="133"/>
      <c r="S68" s="131"/>
    </row>
    <row r="69" spans="1:19" ht="13.5" thickBot="1" x14ac:dyDescent="0.25">
      <c r="A69" s="134" t="s">
        <v>2</v>
      </c>
      <c r="B69" s="135"/>
      <c r="C69" s="135"/>
      <c r="D69" s="135"/>
      <c r="E69" s="135" t="str">
        <f>G17</f>
        <v>Михайлова И.Н. (ВК, Санкт-Петербург)</v>
      </c>
      <c r="F69" s="135"/>
      <c r="G69" s="135"/>
      <c r="H69" s="135" t="str">
        <f>G18</f>
        <v>Валова А.С. (ВК, Санкт-Петербург)</v>
      </c>
      <c r="I69" s="135"/>
      <c r="J69" s="135"/>
      <c r="K69" s="135"/>
      <c r="L69" s="135"/>
      <c r="M69" s="135"/>
      <c r="N69" s="135"/>
      <c r="O69" s="135"/>
      <c r="P69" s="135"/>
      <c r="Q69" s="135" t="str">
        <f>G19</f>
        <v>Соловьев Г.Н. (ВК, Санкт-Петербург)</v>
      </c>
      <c r="R69" s="135"/>
      <c r="S69" s="136"/>
    </row>
    <row r="70" spans="1:19" ht="13.5" thickTop="1" x14ac:dyDescent="0.2"/>
  </sheetData>
  <autoFilter ref="B21:V5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24:V40">
      <sortCondition ref="P21:P52"/>
    </sortState>
  </autoFilter>
  <mergeCells count="49">
    <mergeCell ref="A64:E64"/>
    <mergeCell ref="F64:S64"/>
    <mergeCell ref="A69:D69"/>
    <mergeCell ref="E69:G69"/>
    <mergeCell ref="H69:P69"/>
    <mergeCell ref="Q69:S69"/>
    <mergeCell ref="A54:D54"/>
    <mergeCell ref="G54:S54"/>
    <mergeCell ref="A63:D63"/>
    <mergeCell ref="E63:G63"/>
    <mergeCell ref="H63:P63"/>
    <mergeCell ref="Q63:S63"/>
    <mergeCell ref="Q21:Q22"/>
    <mergeCell ref="R21:R22"/>
    <mergeCell ref="S21:S22"/>
    <mergeCell ref="U21:U22"/>
    <mergeCell ref="V21:V22"/>
    <mergeCell ref="H22:I22"/>
    <mergeCell ref="J22:K22"/>
    <mergeCell ref="L22:M22"/>
    <mergeCell ref="N22:O22"/>
    <mergeCell ref="H18:S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A13:D13"/>
    <mergeCell ref="A14:D14"/>
    <mergeCell ref="A15:G15"/>
    <mergeCell ref="H15:S15"/>
    <mergeCell ref="H16:S16"/>
    <mergeCell ref="H17:S17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  <mergeCell ref="A6:S6"/>
  </mergeCells>
  <conditionalFormatting sqref="G58:G61">
    <cfRule type="duplicateValues" dxfId="0" priority="1"/>
  </conditionalFormatting>
  <pageMargins left="0.23622047244094488" right="0.23622047244094488" top="7.7187500000000006E-2" bottom="0.1128125" header="0.31496062992125984" footer="0.31496062992125984"/>
  <pageSetup paperSize="9" scale="56" fitToHeight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юниоры 19-22 1000 м </vt:lpstr>
      <vt:lpstr>'юниоры 19-22 1000 м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2023-06-12T12:53:58Z</dcterms:created>
  <dcterms:modified xsi:type="dcterms:W3CDTF">2023-06-12T12:54:40Z</dcterms:modified>
</cp:coreProperties>
</file>