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спринт юниоры 19-22 кв (2)" sheetId="1" r:id="rId1"/>
  </sheets>
  <externalReferences>
    <externalReference r:id="rId2"/>
  </externalReferences>
  <definedNames>
    <definedName name="_xlnm.Print_Area" localSheetId="0">'ком спринт юниоры 19-22 кв (2)'!$A$1:$N$59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J40" i="1"/>
  <c r="I40" i="1"/>
  <c r="M37" i="1"/>
  <c r="L37" i="1"/>
  <c r="J37" i="1"/>
  <c r="I37" i="1"/>
  <c r="J59" i="1"/>
  <c r="G59" i="1"/>
  <c r="D59" i="1"/>
  <c r="H51" i="1"/>
  <c r="H50" i="1"/>
  <c r="H49" i="1"/>
  <c r="G42" i="1"/>
  <c r="F42" i="1"/>
  <c r="E42" i="1"/>
  <c r="D42" i="1"/>
  <c r="C42" i="1"/>
  <c r="A42" i="1"/>
  <c r="G41" i="1"/>
  <c r="F41" i="1"/>
  <c r="E41" i="1"/>
  <c r="D41" i="1"/>
  <c r="C41" i="1"/>
  <c r="A41" i="1"/>
  <c r="G40" i="1"/>
  <c r="F40" i="1"/>
  <c r="E40" i="1"/>
  <c r="D40" i="1"/>
  <c r="C40" i="1"/>
  <c r="G39" i="1"/>
  <c r="F39" i="1"/>
  <c r="E39" i="1"/>
  <c r="D39" i="1"/>
  <c r="C39" i="1"/>
  <c r="A39" i="1"/>
  <c r="G38" i="1"/>
  <c r="F38" i="1"/>
  <c r="E38" i="1"/>
  <c r="D38" i="1"/>
  <c r="C38" i="1"/>
  <c r="A38" i="1"/>
  <c r="G37" i="1"/>
  <c r="F37" i="1"/>
  <c r="E37" i="1"/>
  <c r="D37" i="1"/>
  <c r="C37" i="1"/>
  <c r="G36" i="1"/>
  <c r="F36" i="1"/>
  <c r="E36" i="1"/>
  <c r="D36" i="1"/>
  <c r="C36" i="1"/>
  <c r="A36" i="1"/>
  <c r="G35" i="1"/>
  <c r="F35" i="1"/>
  <c r="E35" i="1"/>
  <c r="D35" i="1"/>
  <c r="C35" i="1"/>
  <c r="A35" i="1"/>
  <c r="M34" i="1"/>
  <c r="L34" i="1"/>
  <c r="J34" i="1"/>
  <c r="I34" i="1"/>
  <c r="G34" i="1"/>
  <c r="F34" i="1"/>
  <c r="E34" i="1"/>
  <c r="D34" i="1"/>
  <c r="C34" i="1"/>
  <c r="G33" i="1"/>
  <c r="F33" i="1"/>
  <c r="E33" i="1"/>
  <c r="D33" i="1"/>
  <c r="C33" i="1"/>
  <c r="A33" i="1"/>
  <c r="G32" i="1"/>
  <c r="F32" i="1"/>
  <c r="E32" i="1"/>
  <c r="D32" i="1"/>
  <c r="C32" i="1"/>
  <c r="G31" i="1"/>
  <c r="F31" i="1"/>
  <c r="E31" i="1"/>
  <c r="D31" i="1"/>
  <c r="C31" i="1"/>
  <c r="A31" i="1"/>
  <c r="M30" i="1"/>
  <c r="L30" i="1"/>
  <c r="J30" i="1"/>
  <c r="I30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A28" i="1"/>
  <c r="M27" i="1"/>
  <c r="L27" i="1"/>
  <c r="J27" i="1"/>
  <c r="I27" i="1"/>
  <c r="G27" i="1"/>
  <c r="F27" i="1"/>
  <c r="E27" i="1"/>
  <c r="D27" i="1"/>
  <c r="C27" i="1"/>
  <c r="N26" i="1"/>
  <c r="G26" i="1"/>
  <c r="F26" i="1"/>
  <c r="E26" i="1"/>
  <c r="D26" i="1"/>
  <c r="C26" i="1"/>
  <c r="A26" i="1"/>
  <c r="G25" i="1"/>
  <c r="F25" i="1"/>
  <c r="E25" i="1"/>
  <c r="D25" i="1"/>
  <c r="C25" i="1"/>
  <c r="N24" i="1"/>
  <c r="G24" i="1"/>
  <c r="F24" i="1"/>
  <c r="E24" i="1"/>
  <c r="D24" i="1"/>
  <c r="C24" i="1"/>
  <c r="A24" i="1"/>
  <c r="M23" i="1"/>
  <c r="L23" i="1"/>
  <c r="L24" i="1" s="1"/>
  <c r="J23" i="1"/>
  <c r="I23" i="1"/>
  <c r="G23" i="1"/>
  <c r="F23" i="1"/>
  <c r="J48" i="1" s="1"/>
  <c r="E23" i="1"/>
  <c r="D23" i="1"/>
  <c r="C23" i="1"/>
  <c r="J49" i="1" l="1"/>
  <c r="J50" i="1"/>
  <c r="J45" i="1"/>
  <c r="L26" i="1"/>
  <c r="J46" i="1"/>
  <c r="J51" i="1"/>
  <c r="J47" i="1"/>
</calcChain>
</file>

<file path=xl/sharedStrings.xml><?xml version="1.0" encoding="utf-8"?>
<sst xmlns="http://schemas.openxmlformats.org/spreadsheetml/2006/main" count="73" uniqueCount="67">
  <si>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</si>
  <si>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</si>
  <si>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</si>
  <si>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</si>
  <si>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</si>
  <si>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</si>
  <si>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</si>
  <si>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Юниоры 19-22 года</t>
  </si>
  <si>
    <t>МЕСТО ПРОВЕДЕНИЯ: г. Санкт-Петербург</t>
  </si>
  <si>
    <t>НАЧАЛО ГОНКИ:</t>
  </si>
  <si>
    <t>№ ВРВС: 0080441611Я</t>
  </si>
  <si>
    <t>ДАТА ПРОВЕДЕНИЯ: 8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</si>
  <si>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</si>
  <si>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</si>
  <si>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</si>
  <si>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</si>
  <si>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</si>
  <si>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</si>
  <si>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</si>
  <si>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</si>
  <si>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</si>
  <si>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</si>
  <si>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</si>
  <si>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</si>
  <si>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</si>
  <si>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</si>
  <si>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</si>
  <si>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</si>
  <si>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</si>
  <si>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</si>
  <si>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</si>
  <si>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</si>
  <si>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</si>
  <si>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</si>
  <si>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</si>
  <si>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</si>
  <si>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</si>
  <si>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</si>
  <si>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</si>
  <si>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</si>
  <si>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</si>
  <si>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</si>
  <si>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предупреждение (неправильная смена)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</si>
  <si>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</si>
  <si>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</si>
  <si>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</si>
  <si>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</si>
  <si>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</si>
  <si>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</si>
  <si>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</si>
  <si>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</si>
  <si>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</si>
  <si>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</si>
  <si>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</si>
  <si>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</si>
  <si>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</si>
  <si>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</si>
  <si>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</si>
  <si>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</si>
  <si>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</si>
  <si>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</si>
  <si>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</si>
  <si>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</si>
  <si>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</si>
  <si>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</si>
  <si>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</si>
  <si>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1 Раунд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</si>
</sst>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5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0" fillId="0" borderId="0"/>
  </cellStyleXfs>
  <cellXfs count="2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14" fontId="10" fillId="3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64" fontId="10" fillId="3" borderId="20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29" xfId="0" applyNumberFormat="1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14" fontId="15" fillId="0" borderId="32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8" fillId="0" borderId="33" xfId="0" applyNumberFormat="1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65" fontId="17" fillId="0" borderId="34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4" fontId="15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14" fontId="15" fillId="0" borderId="40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2" fontId="19" fillId="0" borderId="40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65" fontId="17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4" fontId="15" fillId="0" borderId="25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165" fontId="14" fillId="0" borderId="47" xfId="0" applyNumberFormat="1" applyFont="1" applyBorder="1" applyAlignment="1">
      <alignment horizontal="center" vertical="center" wrapText="1"/>
    </xf>
    <xf numFmtId="165" fontId="14" fillId="0" borderId="48" xfId="0" applyNumberFormat="1" applyFont="1" applyBorder="1" applyAlignment="1">
      <alignment horizontal="center" vertical="center" wrapText="1"/>
    </xf>
    <xf numFmtId="165" fontId="14" fillId="0" borderId="47" xfId="0" applyNumberFormat="1" applyFont="1" applyBorder="1" applyAlignment="1">
      <alignment horizontal="center" vertical="center"/>
    </xf>
    <xf numFmtId="165" fontId="16" fillId="0" borderId="47" xfId="0" applyNumberFormat="1" applyFont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0" fontId="0" fillId="0" borderId="49" xfId="0" applyBorder="1"/>
    <xf numFmtId="0" fontId="14" fillId="0" borderId="50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165" fontId="14" fillId="0" borderId="40" xfId="0" applyNumberFormat="1" applyFont="1" applyBorder="1" applyAlignment="1">
      <alignment horizontal="center" vertical="center"/>
    </xf>
    <xf numFmtId="165" fontId="18" fillId="0" borderId="40" xfId="0" applyNumberFormat="1" applyFont="1" applyBorder="1" applyAlignment="1">
      <alignment horizontal="center" vertical="center"/>
    </xf>
    <xf numFmtId="0" fontId="0" fillId="0" borderId="51" xfId="0" applyBorder="1"/>
    <xf numFmtId="0" fontId="14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14" fontId="15" fillId="0" borderId="53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5" fontId="14" fillId="0" borderId="3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2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54" xfId="3" applyFont="1" applyFill="1" applyBorder="1" applyAlignment="1">
      <alignment horizontal="center" vertical="center"/>
    </xf>
    <xf numFmtId="0" fontId="7" fillId="3" borderId="55" xfId="3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0" fontId="7" fillId="3" borderId="56" xfId="3" applyFont="1" applyFill="1" applyBorder="1" applyAlignment="1">
      <alignment horizontal="center"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2" xfId="3" applyFont="1" applyBorder="1" applyAlignment="1">
      <alignment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2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2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2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3" fillId="4" borderId="13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center"/>
    </xf>
    <xf numFmtId="0" fontId="23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0" fillId="0" borderId="18" xfId="3" applyBorder="1" applyAlignment="1">
      <alignment horizontal="center"/>
    </xf>
    <xf numFmtId="0" fontId="20" fillId="0" borderId="58" xfId="3" applyBorder="1" applyAlignment="1">
      <alignment horizontal="center"/>
    </xf>
    <xf numFmtId="165" fontId="24" fillId="0" borderId="47" xfId="0" applyNumberFormat="1" applyFont="1" applyBorder="1" applyAlignment="1">
      <alignment horizontal="center" vertical="center"/>
    </xf>
    <xf numFmtId="2" fontId="14" fillId="0" borderId="47" xfId="0" applyNumberFormat="1" applyFont="1" applyFill="1" applyBorder="1" applyAlignment="1">
      <alignment horizontal="center" vertical="center"/>
    </xf>
    <xf numFmtId="165" fontId="24" fillId="0" borderId="33" xfId="0" applyNumberFormat="1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2" fontId="14" fillId="0" borderId="33" xfId="0" applyNumberFormat="1" applyFont="1" applyFill="1" applyBorder="1" applyAlignment="1">
      <alignment horizontal="center" vertical="center"/>
    </xf>
    <xf numFmtId="165" fontId="24" fillId="0" borderId="40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400050</xdr:colOff>
      <xdr:row>4</xdr:row>
      <xdr:rowOff>85725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0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52</xdr:row>
      <xdr:rowOff>47625</xdr:rowOff>
    </xdr:from>
    <xdr:to>
      <xdr:col>4</xdr:col>
      <xdr:colOff>609600</xdr:colOff>
      <xdr:row>58</xdr:row>
      <xdr:rowOff>47625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29900"/>
          <a:ext cx="1285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742950</xdr:colOff>
      <xdr:row>53</xdr:row>
      <xdr:rowOff>123825</xdr:rowOff>
    </xdr:from>
    <xdr:to>
      <xdr:col>7</xdr:col>
      <xdr:colOff>438150</xdr:colOff>
      <xdr:row>57</xdr:row>
      <xdr:rowOff>95250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887075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276225</xdr:colOff>
      <xdr:row>53</xdr:row>
      <xdr:rowOff>85725</xdr:rowOff>
    </xdr:from>
    <xdr:to>
      <xdr:col>13</xdr:col>
      <xdr:colOff>285750</xdr:colOff>
      <xdr:row>59</xdr:row>
      <xdr:rowOff>47625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848975"/>
          <a:ext cx="1733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60"/>
  <sheetViews>
    <sheetView tabSelected="1" topLeftCell="A18" zoomScaleNormal="100" workbookViewId="0">
      <selection activeCell="U37" sqref="T35:U37"/>
    </sheetView>
  </sheetViews>
  <sheetFormatPr defaultRowHeight="12.75" x14ac:dyDescent="0.2"/>
  <cols>
    <col min="1" max="1" width="3.7109375" customWidth="1"/>
    <col min="2" max="2" width="4.28515625" customWidth="1"/>
    <col min="3" max="3" width="12.42578125" customWidth="1"/>
    <col min="4" max="4" width="17.28515625" customWidth="1"/>
    <col min="5" max="5" width="9.7109375" customWidth="1"/>
    <col min="6" max="6" width="7.28515625" customWidth="1"/>
    <col min="7" max="7" width="17.85546875" customWidth="1"/>
    <col min="8" max="10" width="7.85546875" customWidth="1"/>
    <col min="11" max="11" width="9.28515625" customWidth="1"/>
    <col min="12" max="12" width="7.5703125" customWidth="1"/>
    <col min="13" max="13" width="9" customWidth="1"/>
    <col min="14" max="14" width="15.28515625" customWidth="1"/>
    <col min="16" max="16" width="2.7109375" customWidth="1"/>
    <col min="17" max="17" width="3.140625" customWidth="1"/>
  </cols>
  <sheetData>
    <row r="1" spans="1:1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9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499999999999993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" customHeight="1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4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4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4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4" ht="6.6" customHeight="1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4" x14ac:dyDescent="0.2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4" ht="13.5" thickBot="1" x14ac:dyDescent="0.25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</row>
    <row r="23" spans="1:14" ht="19.149999999999999" customHeight="1" x14ac:dyDescent="0.2">
      <c r="A23" s="82">
        <v>1</v>
      </c>
      <c r="B23" s="83">
        <v>155</v>
      </c>
      <c r="C23" s="84">
        <f>IF(ISBLANK($B23),"",VLOOKUP($B23,[1]список!$B$1:$G$544,2,0))</f>
        <v>10036069533</v>
      </c>
      <c r="D23" s="84" t="str">
        <f>IF(ISBLANK($B23),"",VLOOKUP($B23,[1]список!$B$1:$G$544,3,0))</f>
        <v>Гладышев Иван</v>
      </c>
      <c r="E23" s="85">
        <f>IF(ISBLANK($B23),"",VLOOKUP($B23,[1]список!$B$1:$G$544,4,0))</f>
        <v>37116</v>
      </c>
      <c r="F23" s="85" t="str">
        <f>IF(ISBLANK($B23),"",VLOOKUP($B23,[1]список!$B$1:$H$544,5,0))</f>
        <v>МСМК</v>
      </c>
      <c r="G23" s="86" t="str">
        <f>IF(ISBLANK($B23),"",VLOOKUP($B23,[1]список!$B$1:$H$544,6,0))</f>
        <v>Москва</v>
      </c>
      <c r="H23" s="87">
        <v>2.0820601851851851E-4</v>
      </c>
      <c r="I23" s="88">
        <f>I24-H23</f>
        <v>1.5435185185185183E-4</v>
      </c>
      <c r="J23" s="89">
        <f>K23-I24</f>
        <v>1.538888888888889E-4</v>
      </c>
      <c r="K23" s="90">
        <v>5.1644675925925925E-4</v>
      </c>
      <c r="L23" s="91">
        <f>0.75/(HOUR(K23)+MINUTE(K23)/60+SECOND(K23)/3600)</f>
        <v>60</v>
      </c>
      <c r="M23" s="92" t="str">
        <f>IF(K23&lt;=TIMEVALUE("0:43,500"),"МСМК",IF(K23&lt;=TIMEVALUE("0:44,700"),"МС",IF(K23&lt;=TIMEVALUE("0:47,500"),"КМС",IF(K23&lt;=TIMEVALUE("0:49,500"),"1 СР",IF(K23&lt;=TIMEVALUE("0:51,500"),"2 СР",IF(K23&lt;=TIMEVALUE("0:53,500"),"3 СР",IF(K23&lt;=TIMEVALUE("0:56,000"),"1 сп.юн.р.")))))))</f>
        <v>МС</v>
      </c>
      <c r="N23" s="93" t="s">
        <v>65</v>
      </c>
    </row>
    <row r="24" spans="1:14" ht="19.149999999999999" customHeight="1" x14ac:dyDescent="0.2">
      <c r="A24" s="94">
        <f>A23</f>
        <v>1</v>
      </c>
      <c r="B24" s="95">
        <v>149</v>
      </c>
      <c r="C24" s="96">
        <f>IF(ISBLANK($B24),"",VLOOKUP($B24,[1]список!$B$1:$G$544,2,0))</f>
        <v>10036078728</v>
      </c>
      <c r="D24" s="96" t="str">
        <f>IF(ISBLANK($B24),"",VLOOKUP($B24,[1]список!$B$1:$G$544,3,0))</f>
        <v>Калачник Никита</v>
      </c>
      <c r="E24" s="97">
        <f>IF(ISBLANK($B24),"",VLOOKUP($B24,[1]список!$B$1:$G$544,4,0))</f>
        <v>37795</v>
      </c>
      <c r="F24" s="97" t="str">
        <f>IF(ISBLANK($B24),"",VLOOKUP($B24,[1]список!$B$1:$H$544,5,0))</f>
        <v>МСМК</v>
      </c>
      <c r="G24" s="98" t="str">
        <f>IF(ISBLANK($B24),"",VLOOKUP($B24,[1]список!$B$1:$H$544,6,0))</f>
        <v>Москва</v>
      </c>
      <c r="H24" s="99"/>
      <c r="I24" s="99">
        <v>3.6255787037037035E-4</v>
      </c>
      <c r="J24" s="99"/>
      <c r="K24" s="100"/>
      <c r="L24" s="101">
        <f>L23</f>
        <v>60</v>
      </c>
      <c r="M24" s="102"/>
      <c r="N24" s="103" t="str">
        <f>N23</f>
        <v>Финал</v>
      </c>
    </row>
    <row r="25" spans="1:14" ht="19.149999999999999" customHeight="1" x14ac:dyDescent="0.2">
      <c r="A25" s="94"/>
      <c r="B25" s="104">
        <v>138</v>
      </c>
      <c r="C25" s="105">
        <f>IF(ISBLANK($B25),"",VLOOKUP($B25,[1]список!$B$1:$G$544,2,0))</f>
        <v>10053869942</v>
      </c>
      <c r="D25" s="105" t="str">
        <f>IF(ISBLANK($B25),"",VLOOKUP($B25,[1]список!$B$1:$G$544,3,0))</f>
        <v>Бирюков Никита</v>
      </c>
      <c r="E25" s="106">
        <f>IF(ISBLANK($B25),"",VLOOKUP($B25,[1]список!$B$1:$G$544,4,0))</f>
        <v>37988</v>
      </c>
      <c r="F25" s="106" t="str">
        <f>IF(ISBLANK($B25),"",VLOOKUP($B25,[1]список!$B$1:$H$544,5,0))</f>
        <v>МС</v>
      </c>
      <c r="G25" s="107" t="str">
        <f>IF(ISBLANK($B25),"",VLOOKUP($B25,[1]список!$B$1:$H$544,6,0))</f>
        <v>Москва</v>
      </c>
      <c r="H25" s="99"/>
      <c r="I25" s="99"/>
      <c r="J25" s="99"/>
      <c r="K25" s="100"/>
      <c r="L25" s="101"/>
      <c r="M25" s="108"/>
      <c r="N25" s="103"/>
    </row>
    <row r="26" spans="1:14" ht="19.149999999999999" customHeight="1" thickBot="1" x14ac:dyDescent="0.25">
      <c r="A26" s="109">
        <f>A23</f>
        <v>1</v>
      </c>
      <c r="B26" s="110">
        <v>144</v>
      </c>
      <c r="C26" s="111">
        <f>IF(ISBLANK($B26),"",VLOOKUP($B26,[1]список!$B$1:$G$544,2,0))</f>
        <v>10036021740</v>
      </c>
      <c r="D26" s="111" t="str">
        <f>IF(ISBLANK($B26),"",VLOOKUP($B26,[1]список!$B$1:$G$544,3,0))</f>
        <v>Шерстеникин Алексей</v>
      </c>
      <c r="E26" s="112">
        <f>IF(ISBLANK($B26),"",VLOOKUP($B26,[1]список!$B$1:$G$544,4,0))</f>
        <v>37340</v>
      </c>
      <c r="F26" s="112" t="str">
        <f>IF(ISBLANK($B26),"",VLOOKUP($B26,[1]список!$B$1:$H$544,5,0))</f>
        <v>МС</v>
      </c>
      <c r="G26" s="113" t="str">
        <f>IF(ISBLANK($B26),"",VLOOKUP($B26,[1]список!$B$1:$H$544,6,0))</f>
        <v>Москва</v>
      </c>
      <c r="H26" s="114"/>
      <c r="I26" s="114"/>
      <c r="J26" s="114"/>
      <c r="K26" s="114"/>
      <c r="L26" s="115">
        <f>L23</f>
        <v>60</v>
      </c>
      <c r="M26" s="116"/>
      <c r="N26" s="117" t="str">
        <f>N23</f>
        <v>Финал</v>
      </c>
    </row>
    <row r="27" spans="1:14" ht="19.149999999999999" customHeight="1" x14ac:dyDescent="0.2">
      <c r="A27" s="118">
        <v>2</v>
      </c>
      <c r="B27" s="119">
        <v>167</v>
      </c>
      <c r="C27" s="84">
        <f>IF(ISBLANK($B27),"",VLOOKUP($B27,[1]список!$B$1:$G$544,2,0))</f>
        <v>10075648361</v>
      </c>
      <c r="D27" s="84" t="str">
        <f>IF(ISBLANK($B27),"",VLOOKUP($B27,[1]список!$B$1:$G$544,3,0))</f>
        <v>Величко Тимофей</v>
      </c>
      <c r="E27" s="85">
        <f>IF(ISBLANK($B27),"",VLOOKUP($B27,[1]список!$B$1:$G$544,4,0))</f>
        <v>38346</v>
      </c>
      <c r="F27" s="85" t="str">
        <f>IF(ISBLANK($B27),"",VLOOKUP($B27,[1]список!$B$1:$H$544,5,0))</f>
        <v>КМС</v>
      </c>
      <c r="G27" s="86" t="str">
        <f>IF(ISBLANK($B27),"",VLOOKUP($B27,[1]список!$B$1:$H$544,6,0))</f>
        <v>Москва</v>
      </c>
      <c r="H27" s="87">
        <v>2.2164351851851851E-4</v>
      </c>
      <c r="I27" s="88">
        <f>I28-H27</f>
        <v>1.5478009259259267E-4</v>
      </c>
      <c r="J27" s="89">
        <f>K27-I28</f>
        <v>1.606481481481481E-4</v>
      </c>
      <c r="K27" s="90">
        <v>5.3707175925925927E-4</v>
      </c>
      <c r="L27" s="91">
        <f>0.75/(HOUR(K27)+MINUTE(K27)/60+SECOND(K27)/3600)</f>
        <v>58.695652173913039</v>
      </c>
      <c r="M27" s="92" t="str">
        <f>IF(K27&lt;=TIMEVALUE("0:43,500"),"МСМК",IF(K27&lt;=TIMEVALUE("0:44,700"),"МС",IF(K27&lt;=TIMEVALUE("0:47,500"),"КМС",IF(K27&lt;=TIMEVALUE("0:49,500"),"1 СР",IF(K27&lt;=TIMEVALUE("0:51,500"),"2 СР",IF(K27&lt;=TIMEVALUE("0:53,500"),"3 СР",IF(K27&lt;=TIMEVALUE("0:56,000"),"1 сп.юн.р.")))))))</f>
        <v>КМС</v>
      </c>
      <c r="N27" s="120" t="s">
        <v>42</v>
      </c>
    </row>
    <row r="28" spans="1:14" ht="19.149999999999999" customHeight="1" x14ac:dyDescent="0.2">
      <c r="A28" s="94">
        <f>A27</f>
        <v>2</v>
      </c>
      <c r="B28" s="121">
        <v>168</v>
      </c>
      <c r="C28" s="96">
        <f>IF(ISBLANK($B28),"",VLOOKUP($B28,[1]список!$B$1:$G$544,2,0))</f>
        <v>10036031844</v>
      </c>
      <c r="D28" s="96" t="str">
        <f>IF(ISBLANK($B28),"",VLOOKUP($B28,[1]список!$B$1:$G$544,3,0))</f>
        <v>Спирин Вениамин</v>
      </c>
      <c r="E28" s="97">
        <f>IF(ISBLANK($B28),"",VLOOKUP($B28,[1]список!$B$1:$G$544,4,0))</f>
        <v>36989</v>
      </c>
      <c r="F28" s="97" t="str">
        <f>IF(ISBLANK($B28),"",VLOOKUP($B28,[1]список!$B$1:$H$544,5,0))</f>
        <v>МС</v>
      </c>
      <c r="G28" s="98" t="str">
        <f>IF(ISBLANK($B28),"",VLOOKUP($B28,[1]список!$B$1:$H$544,6,0))</f>
        <v>Москва</v>
      </c>
      <c r="H28" s="99"/>
      <c r="I28" s="99">
        <v>3.7642361111111118E-4</v>
      </c>
      <c r="J28" s="99"/>
      <c r="K28" s="100"/>
      <c r="L28" s="101"/>
      <c r="M28" s="102"/>
      <c r="N28" s="122"/>
    </row>
    <row r="29" spans="1:14" ht="19.149999999999999" customHeight="1" thickBot="1" x14ac:dyDescent="0.25">
      <c r="A29" s="94"/>
      <c r="B29" s="123">
        <v>169</v>
      </c>
      <c r="C29" s="124">
        <f>IF(ISBLANK($B29),"",VLOOKUP($B29,[1]список!$B$1:$G$544,2,0))</f>
        <v>10076948161</v>
      </c>
      <c r="D29" s="124" t="str">
        <f>IF(ISBLANK($B29),"",VLOOKUP($B29,[1]список!$B$1:$G$544,3,0))</f>
        <v>Явенков Александр</v>
      </c>
      <c r="E29" s="125">
        <f>IF(ISBLANK($B29),"",VLOOKUP($B29,[1]список!$B$1:$G$544,4,0))</f>
        <v>38092</v>
      </c>
      <c r="F29" s="125" t="str">
        <f>IF(ISBLANK($B29),"",VLOOKUP($B29,[1]список!$B$1:$H$544,5,0))</f>
        <v>КМС</v>
      </c>
      <c r="G29" s="126" t="str">
        <f>IF(ISBLANK($B29),"",VLOOKUP($B29,[1]список!$B$1:$H$544,6,0))</f>
        <v>Москва</v>
      </c>
      <c r="H29" s="99"/>
      <c r="I29" s="99"/>
      <c r="J29" s="99"/>
      <c r="K29" s="100"/>
      <c r="L29" s="101"/>
      <c r="M29" s="108"/>
      <c r="N29" s="127"/>
    </row>
    <row r="30" spans="1:14" ht="19.149999999999999" customHeight="1" x14ac:dyDescent="0.2">
      <c r="A30" s="118">
        <v>3</v>
      </c>
      <c r="B30" s="119">
        <v>13</v>
      </c>
      <c r="C30" s="84">
        <f>IF(ISBLANK($B30),"",VLOOKUP($B30,[1]список!$B$1:$G$544,2,0))</f>
        <v>10103577792</v>
      </c>
      <c r="D30" s="84" t="str">
        <f>IF(ISBLANK($B30),"",VLOOKUP($B30,[1]список!$B$1:$G$544,3,0))</f>
        <v>Алексеев Лаврентий</v>
      </c>
      <c r="E30" s="85" t="str">
        <f>IF(ISBLANK($B30),"",VLOOKUP($B30,[1]список!$B$1:$G$544,4,0))</f>
        <v>12 12 2002</v>
      </c>
      <c r="F30" s="85" t="str">
        <f>IF(ISBLANK($B30),"",VLOOKUP($B30,[1]список!$B$1:$H$544,5,0))</f>
        <v>КМС</v>
      </c>
      <c r="G30" s="86" t="str">
        <f>IF(ISBLANK($B30),"",VLOOKUP($B30,[1]список!$B$1:$H$544,6,0))</f>
        <v>Санкт-Петербург</v>
      </c>
      <c r="H30" s="128">
        <v>2.1081018518518519E-4</v>
      </c>
      <c r="I30" s="129">
        <f>I31-H30</f>
        <v>1.5354166666666668E-4</v>
      </c>
      <c r="J30" s="130">
        <f>K30-I31</f>
        <v>1.5835648148148149E-4</v>
      </c>
      <c r="K30" s="131">
        <v>5.2270833333333336E-4</v>
      </c>
      <c r="L30" s="132">
        <f>0.75/(HOUR(K30)+MINUTE(K30)/60+SECOND(K30)/3600)</f>
        <v>60</v>
      </c>
      <c r="M30" s="92" t="str">
        <f>IF(K30&lt;=TIMEVALUE("0:43,500"),"МСМК",IF(K30&lt;=TIMEVALUE("0:44,700"),"МС",IF(K30&lt;=TIMEVALUE("0:47,500"),"КМС",IF(K30&lt;=TIMEVALUE("0:49,500"),"1 СР",IF(K30&lt;=TIMEVALUE("0:51,500"),"2 СР",IF(K30&lt;=TIMEVALUE("0:53,500"),"3 СР",IF(K30&lt;=TIMEVALUE("0:56,000"),"1 сп.юн.р.")))))))</f>
        <v>КМС</v>
      </c>
      <c r="N30" s="93" t="s">
        <v>65</v>
      </c>
    </row>
    <row r="31" spans="1:14" ht="19.149999999999999" customHeight="1" x14ac:dyDescent="0.2">
      <c r="A31" s="94">
        <f>A30</f>
        <v>3</v>
      </c>
      <c r="B31" s="121">
        <v>89</v>
      </c>
      <c r="C31" s="96">
        <f>IF(ISBLANK($B31),"",VLOOKUP($B31,[1]список!$B$1:$G$544,2,0))</f>
        <v>10063781322</v>
      </c>
      <c r="D31" s="96" t="str">
        <f>IF(ISBLANK($B31),"",VLOOKUP($B31,[1]список!$B$1:$G$544,3,0))</f>
        <v>Шекелашвили Давид</v>
      </c>
      <c r="E31" s="97">
        <f>IF(ISBLANK($B31),"",VLOOKUP($B31,[1]список!$B$1:$G$544,4,0))</f>
        <v>37834</v>
      </c>
      <c r="F31" s="97" t="str">
        <f>IF(ISBLANK($B31),"",VLOOKUP($B31,[1]список!$B$1:$H$544,5,0))</f>
        <v>МС</v>
      </c>
      <c r="G31" s="98" t="str">
        <f>IF(ISBLANK($B31),"",VLOOKUP($B31,[1]список!$B$1:$H$544,6,0))</f>
        <v>Санкт-Петербург</v>
      </c>
      <c r="H31" s="99"/>
      <c r="I31" s="99">
        <v>3.6435185185185187E-4</v>
      </c>
      <c r="J31" s="99"/>
      <c r="K31" s="100"/>
      <c r="L31" s="101"/>
      <c r="M31" s="102"/>
      <c r="N31" s="133"/>
    </row>
    <row r="32" spans="1:14" ht="19.149999999999999" customHeight="1" x14ac:dyDescent="0.2">
      <c r="A32" s="94"/>
      <c r="B32" s="134">
        <v>90</v>
      </c>
      <c r="C32" s="105">
        <f>IF(ISBLANK($B32),"",VLOOKUP($B32,[1]список!$B$1:$G$544,2,0))</f>
        <v>10090441164</v>
      </c>
      <c r="D32" s="105" t="str">
        <f>IF(ISBLANK($B32),"",VLOOKUP($B32,[1]список!$B$1:$G$544,3,0))</f>
        <v>Годин Михаил</v>
      </c>
      <c r="E32" s="106">
        <f>IF(ISBLANK($B32),"",VLOOKUP($B32,[1]список!$B$1:$G$544,4,0))</f>
        <v>38312</v>
      </c>
      <c r="F32" s="106" t="str">
        <f>IF(ISBLANK($B32),"",VLOOKUP($B32,[1]список!$B$1:$H$544,5,0))</f>
        <v>МС</v>
      </c>
      <c r="G32" s="107" t="str">
        <f>IF(ISBLANK($B32),"",VLOOKUP($B32,[1]список!$B$1:$H$544,6,0))</f>
        <v>Санкт-Петербург</v>
      </c>
      <c r="H32" s="99"/>
      <c r="I32" s="99"/>
      <c r="J32" s="99"/>
      <c r="K32" s="100"/>
      <c r="L32" s="101"/>
      <c r="M32" s="108"/>
      <c r="N32" s="133"/>
    </row>
    <row r="33" spans="1:14" ht="19.149999999999999" customHeight="1" thickBot="1" x14ac:dyDescent="0.25">
      <c r="A33" s="109">
        <f>A30</f>
        <v>3</v>
      </c>
      <c r="B33" s="135">
        <v>91</v>
      </c>
      <c r="C33" s="111">
        <f>IF(ISBLANK($B33),"",VLOOKUP($B33,[1]список!$B$1:$G$544,2,0))</f>
        <v>10090420148</v>
      </c>
      <c r="D33" s="111" t="str">
        <f>IF(ISBLANK($B33),"",VLOOKUP($B33,[1]список!$B$1:$G$544,3,0))</f>
        <v>Галиханов Денис</v>
      </c>
      <c r="E33" s="112">
        <f>IF(ISBLANK($B33),"",VLOOKUP($B33,[1]список!$B$1:$G$544,4,0))</f>
        <v>38909</v>
      </c>
      <c r="F33" s="112" t="str">
        <f>IF(ISBLANK($B33),"",VLOOKUP($B33,[1]список!$B$1:$H$544,5,0))</f>
        <v>КМС</v>
      </c>
      <c r="G33" s="113" t="str">
        <f>IF(ISBLANK($B33),"",VLOOKUP($B33,[1]список!$B$1:$H$544,6,0))</f>
        <v>Санкт-Петербург</v>
      </c>
      <c r="H33" s="136"/>
      <c r="I33" s="136"/>
      <c r="J33" s="136"/>
      <c r="K33" s="137"/>
      <c r="L33" s="115"/>
      <c r="M33" s="116"/>
      <c r="N33" s="138"/>
    </row>
    <row r="34" spans="1:14" ht="19.149999999999999" customHeight="1" x14ac:dyDescent="0.2">
      <c r="A34" s="118">
        <v>4</v>
      </c>
      <c r="B34" s="139">
        <v>143</v>
      </c>
      <c r="C34" s="140">
        <f>IF(ISBLANK($B34),"",VLOOKUP($B34,[1]список!$B$1:$G$544,2,0))</f>
        <v>10076776187</v>
      </c>
      <c r="D34" s="140" t="str">
        <f>IF(ISBLANK($B34),"",VLOOKUP($B34,[1]список!$B$1:$G$544,3,0))</f>
        <v>Попов Александр</v>
      </c>
      <c r="E34" s="141">
        <f>IF(ISBLANK($B34),"",VLOOKUP($B34,[1]список!$B$1:$G$544,4,0))</f>
        <v>37974</v>
      </c>
      <c r="F34" s="141" t="str">
        <f>IF(ISBLANK($B34),"",VLOOKUP($B34,[1]список!$B$1:$H$544,5,0))</f>
        <v>МС</v>
      </c>
      <c r="G34" s="142" t="str">
        <f>IF(ISBLANK($B34),"",VLOOKUP($B34,[1]список!$B$1:$H$544,6,0))</f>
        <v>Москва</v>
      </c>
      <c r="H34" s="128">
        <v>2.1372685185185188E-4</v>
      </c>
      <c r="I34" s="129">
        <f>I35-H34</f>
        <v>1.5552083333333325E-4</v>
      </c>
      <c r="J34" s="130">
        <f>K34-I35</f>
        <v>1.5891203703703716E-4</v>
      </c>
      <c r="K34" s="131">
        <v>5.2815972222222229E-4</v>
      </c>
      <c r="L34" s="132">
        <f>0.75/(HOUR(K34)+MINUTE(K34)/60+SECOND(K34)/3600)</f>
        <v>58.695652173913039</v>
      </c>
      <c r="M34" s="92" t="str">
        <f>IF(K34&lt;=TIMEVALUE("0:43,500"),"МСМК",IF(K34&lt;=TIMEVALUE("0:44,700"),"МС",IF(K34&lt;=TIMEVALUE("0:47,500"),"КМС",IF(K34&lt;=TIMEVALUE("0:49,500"),"1 СР",IF(K34&lt;=TIMEVALUE("0:51,500"),"2 СР",IF(K34&lt;=TIMEVALUE("0:53,500"),"3 СР",IF(K34&lt;=TIMEVALUE("0:56,000"),"1 сп.юн.р.")))))))</f>
        <v>КМС</v>
      </c>
      <c r="N34" s="93" t="s">
        <v>65</v>
      </c>
    </row>
    <row r="35" spans="1:14" ht="19.149999999999999" customHeight="1" x14ac:dyDescent="0.2">
      <c r="A35" s="94">
        <f>A34</f>
        <v>4</v>
      </c>
      <c r="B35" s="121">
        <v>145</v>
      </c>
      <c r="C35" s="96">
        <f>IF(ISBLANK($B35),"",VLOOKUP($B35,[1]список!$B$1:$G$544,2,0))</f>
        <v>10101332446</v>
      </c>
      <c r="D35" s="96" t="str">
        <f>IF(ISBLANK($B35),"",VLOOKUP($B35,[1]список!$B$1:$G$544,3,0))</f>
        <v>Юдин Никита</v>
      </c>
      <c r="E35" s="97">
        <f>IF(ISBLANK($B35),"",VLOOKUP($B35,[1]список!$B$1:$G$544,4,0))</f>
        <v>38409</v>
      </c>
      <c r="F35" s="97" t="str">
        <f>IF(ISBLANK($B35),"",VLOOKUP($B35,[1]список!$B$1:$H$544,5,0))</f>
        <v>КМС</v>
      </c>
      <c r="G35" s="143" t="str">
        <f>IF(ISBLANK($B35),"",VLOOKUP($B35,[1]список!$B$1:$H$544,6,0))</f>
        <v>Москва</v>
      </c>
      <c r="H35" s="99"/>
      <c r="I35" s="99">
        <v>3.6924768518518513E-4</v>
      </c>
      <c r="J35" s="99"/>
      <c r="K35" s="100"/>
      <c r="L35" s="101"/>
      <c r="M35" s="102"/>
      <c r="N35" s="103"/>
    </row>
    <row r="36" spans="1:14" ht="19.149999999999999" customHeight="1" thickBot="1" x14ac:dyDescent="0.25">
      <c r="A36" s="109">
        <f>A34</f>
        <v>4</v>
      </c>
      <c r="B36" s="123">
        <v>139</v>
      </c>
      <c r="C36" s="124">
        <f>IF(ISBLANK($B36),"",VLOOKUP($B36,[1]список!$B$1:$G$544,2,0))</f>
        <v>10052469304</v>
      </c>
      <c r="D36" s="124" t="str">
        <f>IF(ISBLANK($B36),"",VLOOKUP($B36,[1]список!$B$1:$G$544,3,0))</f>
        <v>Головенец Ярослав</v>
      </c>
      <c r="E36" s="125">
        <f>IF(ISBLANK($B36),"",VLOOKUP($B36,[1]список!$B$1:$G$544,4,0))</f>
        <v>38141</v>
      </c>
      <c r="F36" s="125" t="str">
        <f>IF(ISBLANK($B36),"",VLOOKUP($B36,[1]список!$B$1:$H$544,5,0))</f>
        <v>МС</v>
      </c>
      <c r="G36" s="144" t="str">
        <f>IF(ISBLANK($B36),"",VLOOKUP($B36,[1]список!$B$1:$H$544,6,0))</f>
        <v>Москва</v>
      </c>
      <c r="H36" s="136"/>
      <c r="I36" s="136"/>
      <c r="J36" s="136"/>
      <c r="K36" s="137"/>
      <c r="L36" s="115"/>
      <c r="M36" s="116"/>
      <c r="N36" s="117"/>
    </row>
    <row r="37" spans="1:14" ht="19.149999999999999" customHeight="1" x14ac:dyDescent="0.2">
      <c r="A37" s="82">
        <v>5</v>
      </c>
      <c r="B37" s="119">
        <v>205</v>
      </c>
      <c r="C37" s="84">
        <f>IF(ISBLANK($B37),"",VLOOKUP($B37,[1]список!$B$1:$G$544,2,0))</f>
        <v>10077952416</v>
      </c>
      <c r="D37" s="84" t="str">
        <f>IF(ISBLANK($B37),"",VLOOKUP($B37,[1]список!$B$1:$G$544,3,0))</f>
        <v>Залипятский Иван</v>
      </c>
      <c r="E37" s="85">
        <f>IF(ISBLANK($B37),"",VLOOKUP($B37,[1]список!$B$1:$G$544,4,0))</f>
        <v>37631</v>
      </c>
      <c r="F37" s="85" t="str">
        <f>IF(ISBLANK($B37),"",VLOOKUP($B37,[1]список!$B$1:$H$544,5,0))</f>
        <v>КМС</v>
      </c>
      <c r="G37" s="86" t="str">
        <f>IF(ISBLANK($B37),"",VLOOKUP($B37,[1]список!$B$1:$H$544,6,0))</f>
        <v>Омская область</v>
      </c>
      <c r="H37" s="128">
        <v>2.1518518518518515E-4</v>
      </c>
      <c r="I37" s="128">
        <f>I38-H37</f>
        <v>1.5862268518518517E-4</v>
      </c>
      <c r="J37" s="130">
        <f>K37-I38</f>
        <v>1.6016203703703705E-4</v>
      </c>
      <c r="K37" s="206">
        <v>5.3396990740740737E-4</v>
      </c>
      <c r="L37" s="207">
        <f>0.75/(HOUR(K37)+MINUTE(K37)/60+SECOND(K37)/3600)</f>
        <v>58.695652173913039</v>
      </c>
      <c r="M37" s="92" t="str">
        <f>IF(K37&lt;=TIMEVALUE("0:43,500"),"МСМК",IF(K37&lt;=TIMEVALUE("0:44,700"),"МС",IF(K37&lt;=TIMEVALUE("0:47,500"),"КМС",IF(K37&lt;=TIMEVALUE("0:49,500"),"1 СР",IF(K37&lt;=TIMEVALUE("0:51,500"),"2 СР",IF(K37&lt;=TIMEVALUE("0:53,500"),"3 СР",IF(K37&lt;=TIMEVALUE("0:56,000"),"1 сп.юн.р.")))))))</f>
        <v>КМС</v>
      </c>
      <c r="N37" s="147" t="s">
        <v>66</v>
      </c>
    </row>
    <row r="38" spans="1:14" ht="19.149999999999999" customHeight="1" x14ac:dyDescent="0.2">
      <c r="A38" s="94">
        <f>A37</f>
        <v>5</v>
      </c>
      <c r="B38" s="121">
        <v>209</v>
      </c>
      <c r="C38" s="96">
        <f>IF(ISBLANK($B38),"",VLOOKUP($B38,[1]список!$B$1:$G$544,2,0))</f>
        <v>10062526988</v>
      </c>
      <c r="D38" s="96" t="str">
        <f>IF(ISBLANK($B38),"",VLOOKUP($B38,[1]список!$B$1:$G$544,3,0))</f>
        <v>Шестаков Артем</v>
      </c>
      <c r="E38" s="97">
        <f>IF(ISBLANK($B38),"",VLOOKUP($B38,[1]список!$B$1:$G$544,4,0))</f>
        <v>37882</v>
      </c>
      <c r="F38" s="97" t="str">
        <f>IF(ISBLANK($B38),"",VLOOKUP($B38,[1]список!$B$1:$H$544,5,0))</f>
        <v>КМС</v>
      </c>
      <c r="G38" s="98" t="str">
        <f>IF(ISBLANK($B38),"",VLOOKUP($B38,[1]список!$B$1:$H$544,6,0))</f>
        <v>Омская область</v>
      </c>
      <c r="H38" s="99"/>
      <c r="I38" s="99">
        <v>3.7380787037037032E-4</v>
      </c>
      <c r="J38" s="99"/>
      <c r="K38" s="208"/>
      <c r="L38" s="209"/>
      <c r="M38" s="102"/>
      <c r="N38" s="103"/>
    </row>
    <row r="39" spans="1:14" ht="19.149999999999999" customHeight="1" thickBot="1" x14ac:dyDescent="0.25">
      <c r="A39" s="109">
        <f>A37</f>
        <v>5</v>
      </c>
      <c r="B39" s="123">
        <v>211</v>
      </c>
      <c r="C39" s="124">
        <f>IF(ISBLANK($B39),"",VLOOKUP($B39,[1]список!$B$1:$G$544,2,0))</f>
        <v>10055306451</v>
      </c>
      <c r="D39" s="124" t="str">
        <f>IF(ISBLANK($B39),"",VLOOKUP($B39,[1]список!$B$1:$G$544,3,0))</f>
        <v>Лучников Егор</v>
      </c>
      <c r="E39" s="125">
        <f>IF(ISBLANK($B39),"",VLOOKUP($B39,[1]список!$B$1:$G$544,4,0))</f>
        <v>37883</v>
      </c>
      <c r="F39" s="125" t="str">
        <f>IF(ISBLANK($B39),"",VLOOKUP($B39,[1]список!$B$1:$H$544,5,0))</f>
        <v>МС</v>
      </c>
      <c r="G39" s="126" t="str">
        <f>IF(ISBLANK($B39),"",VLOOKUP($B39,[1]список!$B$1:$H$544,6,0))</f>
        <v>Омская область</v>
      </c>
      <c r="H39" s="99"/>
      <c r="I39" s="99"/>
      <c r="J39" s="99"/>
      <c r="K39" s="208"/>
      <c r="L39" s="209"/>
      <c r="M39" s="108"/>
      <c r="N39" s="117"/>
    </row>
    <row r="40" spans="1:14" ht="19.149999999999999" customHeight="1" x14ac:dyDescent="0.2">
      <c r="A40" s="118">
        <v>6</v>
      </c>
      <c r="B40" s="119">
        <v>195</v>
      </c>
      <c r="C40" s="84">
        <f>IF(ISBLANK($B40),"",VLOOKUP($B40,[1]список!$B$1:$G$544,2,0))</f>
        <v>10059156745</v>
      </c>
      <c r="D40" s="84" t="str">
        <f>IF(ISBLANK($B40),"",VLOOKUP($B40,[1]список!$B$1:$G$544,3,0))</f>
        <v>Шевцов Андрей</v>
      </c>
      <c r="E40" s="85">
        <f>IF(ISBLANK($B40),"",VLOOKUP($B40,[1]список!$B$1:$G$544,4,0))</f>
        <v>37811</v>
      </c>
      <c r="F40" s="85" t="str">
        <f>IF(ISBLANK($B40),"",VLOOKUP($B40,[1]список!$B$1:$H$544,5,0))</f>
        <v>МС</v>
      </c>
      <c r="G40" s="148" t="str">
        <f>IF(ISBLANK($B40),"",VLOOKUP($B40,[1]список!$B$1:$H$544,6,0))</f>
        <v>Омская область</v>
      </c>
      <c r="H40" s="145">
        <v>2.1415509259259261E-4</v>
      </c>
      <c r="I40" s="145">
        <f>I41-H40</f>
        <v>1.6318287037037034E-4</v>
      </c>
      <c r="J40" s="99">
        <f>K40-I41</f>
        <v>1.6627314814814819E-4</v>
      </c>
      <c r="K40" s="208">
        <v>5.4361111111111114E-4</v>
      </c>
      <c r="L40" s="210">
        <f>0.75/(HOUR(K40)+MINUTE(K40)/60+SECOND(K40)/3600)</f>
        <v>57.446808510638292</v>
      </c>
      <c r="M40" s="146" t="str">
        <f>IF(K40&lt;=TIMEVALUE("0:43,500"),"МСМК",IF(K40&lt;=TIMEVALUE("0:44,700"),"МС",IF(K40&lt;=TIMEVALUE("0:47,500"),"КМС",IF(K40&lt;=TIMEVALUE("0:49,500"),"1 СР",IF(K40&lt;=TIMEVALUE("0:51,500"),"2 СР",IF(K40&lt;=TIMEVALUE("0:53,500"),"3 СР",IF(K40&lt;=TIMEVALUE("0:56,000"),"1 сп.юн.р.")))))))</f>
        <v>КМС</v>
      </c>
      <c r="N40" s="147" t="s">
        <v>66</v>
      </c>
    </row>
    <row r="41" spans="1:14" ht="19.149999999999999" customHeight="1" x14ac:dyDescent="0.2">
      <c r="A41" s="94">
        <f>A40</f>
        <v>6</v>
      </c>
      <c r="B41" s="121">
        <v>197</v>
      </c>
      <c r="C41" s="96">
        <f>IF(ISBLANK($B41),"",VLOOKUP($B41,[1]список!$B$1:$G$544,2,0))</f>
        <v>10054592186</v>
      </c>
      <c r="D41" s="96" t="str">
        <f>IF(ISBLANK($B41),"",VLOOKUP($B41,[1]список!$B$1:$G$544,3,0))</f>
        <v>Кузнецов Данила</v>
      </c>
      <c r="E41" s="97">
        <f>IF(ISBLANK($B41),"",VLOOKUP($B41,[1]список!$B$1:$G$544,4,0))</f>
        <v>37400</v>
      </c>
      <c r="F41" s="97" t="str">
        <f>IF(ISBLANK($B41),"",VLOOKUP($B41,[1]список!$B$1:$H$544,5,0))</f>
        <v>КМС</v>
      </c>
      <c r="G41" s="143" t="str">
        <f>IF(ISBLANK($B41),"",VLOOKUP($B41,[1]список!$B$1:$H$544,6,0))</f>
        <v>Омская область</v>
      </c>
      <c r="H41" s="99"/>
      <c r="I41" s="99">
        <v>3.7733796296296295E-4</v>
      </c>
      <c r="J41" s="99"/>
      <c r="K41" s="208"/>
      <c r="L41" s="209"/>
      <c r="M41" s="102"/>
      <c r="N41" s="103"/>
    </row>
    <row r="42" spans="1:14" ht="19.149999999999999" customHeight="1" thickBot="1" x14ac:dyDescent="0.25">
      <c r="A42" s="109">
        <f>A40</f>
        <v>6</v>
      </c>
      <c r="B42" s="123">
        <v>196</v>
      </c>
      <c r="C42" s="124">
        <f>IF(ISBLANK($B42),"",VLOOKUP($B42,[1]список!$B$1:$G$544,2,0))</f>
        <v>10062192643</v>
      </c>
      <c r="D42" s="124" t="str">
        <f>IF(ISBLANK($B42),"",VLOOKUP($B42,[1]список!$B$1:$G$544,3,0))</f>
        <v>Бурдыгин Глеб</v>
      </c>
      <c r="E42" s="125">
        <f>IF(ISBLANK($B42),"",VLOOKUP($B42,[1]список!$B$1:$G$544,4,0))</f>
        <v>37355</v>
      </c>
      <c r="F42" s="125" t="str">
        <f>IF(ISBLANK($B42),"",VLOOKUP($B42,[1]список!$B$1:$H$544,5,0))</f>
        <v>КМС</v>
      </c>
      <c r="G42" s="144" t="str">
        <f>IF(ISBLANK($B42),"",VLOOKUP($B42,[1]список!$B$1:$H$544,6,0))</f>
        <v>Омская область</v>
      </c>
      <c r="H42" s="136"/>
      <c r="I42" s="136"/>
      <c r="J42" s="136"/>
      <c r="K42" s="211"/>
      <c r="L42" s="212"/>
      <c r="M42" s="116"/>
      <c r="N42" s="117"/>
    </row>
    <row r="43" spans="1:14" ht="16.5" thickBot="1" x14ac:dyDescent="0.25">
      <c r="A43" s="149"/>
      <c r="B43" s="150"/>
      <c r="C43" s="150"/>
      <c r="D43" s="151"/>
      <c r="E43" s="152"/>
      <c r="F43" s="153"/>
      <c r="G43" s="154"/>
      <c r="H43" s="155"/>
      <c r="I43" s="155"/>
      <c r="J43" s="155"/>
      <c r="K43" s="155"/>
      <c r="L43" s="156"/>
      <c r="M43" s="157"/>
      <c r="N43" s="158"/>
    </row>
    <row r="44" spans="1:14" ht="15.75" thickTop="1" x14ac:dyDescent="0.2">
      <c r="A44" s="159" t="s">
        <v>43</v>
      </c>
      <c r="B44" s="160"/>
      <c r="C44" s="160"/>
      <c r="D44" s="160"/>
      <c r="E44" s="161"/>
      <c r="F44" s="161"/>
      <c r="G44" s="161" t="s">
        <v>44</v>
      </c>
      <c r="H44" s="161"/>
      <c r="I44" s="161"/>
      <c r="J44" s="161"/>
      <c r="K44" s="161"/>
      <c r="L44" s="160"/>
      <c r="M44" s="160"/>
      <c r="N44" s="162"/>
    </row>
    <row r="45" spans="1:14" x14ac:dyDescent="0.2">
      <c r="A45" s="163" t="s">
        <v>45</v>
      </c>
      <c r="B45" s="164"/>
      <c r="C45" s="165"/>
      <c r="D45" s="166"/>
      <c r="E45" s="167"/>
      <c r="F45" s="168"/>
      <c r="G45" s="169" t="s">
        <v>46</v>
      </c>
      <c r="H45" s="170">
        <v>3</v>
      </c>
      <c r="I45" s="171" t="s">
        <v>47</v>
      </c>
      <c r="J45" s="172">
        <f>COUNTIF(F5:F60,"ЗМС")</f>
        <v>0</v>
      </c>
      <c r="K45" s="169"/>
      <c r="L45" s="173"/>
      <c r="M45" s="174"/>
      <c r="N45" s="175"/>
    </row>
    <row r="46" spans="1:14" x14ac:dyDescent="0.2">
      <c r="A46" s="168" t="s">
        <v>48</v>
      </c>
      <c r="B46" s="164"/>
      <c r="C46" s="176"/>
      <c r="D46" s="166"/>
      <c r="E46" s="167"/>
      <c r="F46" s="168"/>
      <c r="G46" s="177" t="s">
        <v>49</v>
      </c>
      <c r="H46" s="170">
        <v>6</v>
      </c>
      <c r="I46" s="171" t="s">
        <v>50</v>
      </c>
      <c r="J46" s="172">
        <f>COUNTIF(F5:F60,"МСМК")</f>
        <v>2</v>
      </c>
      <c r="K46" s="177"/>
      <c r="L46" s="173"/>
      <c r="M46" s="174"/>
      <c r="N46" s="175"/>
    </row>
    <row r="47" spans="1:14" x14ac:dyDescent="0.2">
      <c r="A47" s="163"/>
      <c r="B47" s="164"/>
      <c r="C47" s="178"/>
      <c r="D47" s="166"/>
      <c r="E47" s="167"/>
      <c r="F47" s="168"/>
      <c r="G47" s="177" t="s">
        <v>51</v>
      </c>
      <c r="H47" s="170">
        <v>6</v>
      </c>
      <c r="I47" s="171" t="s">
        <v>52</v>
      </c>
      <c r="J47" s="172">
        <f>COUNTIF(F5:F60,"МС")</f>
        <v>9</v>
      </c>
      <c r="K47" s="177"/>
      <c r="L47" s="173"/>
      <c r="M47" s="174"/>
      <c r="N47" s="175"/>
    </row>
    <row r="48" spans="1:14" x14ac:dyDescent="0.2">
      <c r="A48" s="163"/>
      <c r="B48" s="164"/>
      <c r="C48" s="178"/>
      <c r="D48" s="166"/>
      <c r="E48" s="167"/>
      <c r="F48" s="168"/>
      <c r="G48" s="177" t="s">
        <v>53</v>
      </c>
      <c r="H48" s="170">
        <v>6</v>
      </c>
      <c r="I48" s="171" t="s">
        <v>54</v>
      </c>
      <c r="J48" s="172">
        <f>COUNTIF(F5:F60,"КМС")</f>
        <v>9</v>
      </c>
      <c r="K48" s="177"/>
      <c r="L48" s="173"/>
      <c r="M48" s="174"/>
      <c r="N48" s="175"/>
    </row>
    <row r="49" spans="1:14" x14ac:dyDescent="0.2">
      <c r="A49" s="163"/>
      <c r="B49" s="164"/>
      <c r="C49" s="178"/>
      <c r="D49" s="166"/>
      <c r="E49" s="167"/>
      <c r="F49" s="168"/>
      <c r="G49" s="177" t="s">
        <v>55</v>
      </c>
      <c r="H49" s="170">
        <f>COUNTIF(B5:B60,"НФ")</f>
        <v>0</v>
      </c>
      <c r="I49" s="171" t="s">
        <v>56</v>
      </c>
      <c r="J49" s="172">
        <f>COUNTIF(F5:F60,"1 СР")</f>
        <v>0</v>
      </c>
      <c r="K49" s="177"/>
      <c r="L49" s="173"/>
      <c r="M49" s="174"/>
      <c r="N49" s="175"/>
    </row>
    <row r="50" spans="1:14" x14ac:dyDescent="0.2">
      <c r="A50" s="163"/>
      <c r="B50" s="164"/>
      <c r="C50" s="164"/>
      <c r="D50" s="166"/>
      <c r="E50" s="167"/>
      <c r="F50" s="168"/>
      <c r="G50" s="177" t="s">
        <v>57</v>
      </c>
      <c r="H50" s="170">
        <f>COUNTIF(B5:B60,"ДСКВ")</f>
        <v>0</v>
      </c>
      <c r="I50" s="179" t="s">
        <v>58</v>
      </c>
      <c r="J50" s="172">
        <f>COUNTIF(F5:F60,"2 СР")</f>
        <v>0</v>
      </c>
      <c r="K50" s="177"/>
      <c r="L50" s="173"/>
      <c r="M50" s="180"/>
      <c r="N50" s="175"/>
    </row>
    <row r="51" spans="1:14" x14ac:dyDescent="0.2">
      <c r="A51" s="163"/>
      <c r="B51" s="164"/>
      <c r="C51" s="164"/>
      <c r="D51" s="166"/>
      <c r="E51" s="167"/>
      <c r="F51" s="168"/>
      <c r="G51" s="177" t="s">
        <v>59</v>
      </c>
      <c r="H51" s="170">
        <f>COUNTIF(B5:B60,"НС")</f>
        <v>0</v>
      </c>
      <c r="I51" s="179" t="s">
        <v>60</v>
      </c>
      <c r="J51" s="172">
        <f>COUNTIF(F5:F60,"3 СР")</f>
        <v>0</v>
      </c>
      <c r="K51" s="177"/>
      <c r="L51" s="173"/>
      <c r="M51" s="180"/>
      <c r="N51" s="175"/>
    </row>
    <row r="52" spans="1:14" x14ac:dyDescent="0.2">
      <c r="A52" s="181"/>
      <c r="B52" s="182"/>
      <c r="C52" s="182"/>
      <c r="D52" s="183"/>
      <c r="E52" s="184"/>
      <c r="F52" s="183"/>
      <c r="G52" s="183"/>
      <c r="H52" s="185"/>
      <c r="I52" s="185"/>
      <c r="J52" s="185"/>
      <c r="K52" s="185"/>
      <c r="L52" s="186"/>
      <c r="M52" s="183"/>
      <c r="N52" s="187"/>
    </row>
    <row r="53" spans="1:14" ht="14.45" customHeight="1" x14ac:dyDescent="0.2">
      <c r="A53" s="188" t="s">
        <v>61</v>
      </c>
      <c r="B53" s="189"/>
      <c r="C53" s="189"/>
      <c r="D53" s="189" t="s">
        <v>62</v>
      </c>
      <c r="E53" s="189"/>
      <c r="F53" s="189"/>
      <c r="G53" s="189" t="s">
        <v>63</v>
      </c>
      <c r="H53" s="189"/>
      <c r="I53" s="189"/>
      <c r="J53" s="190" t="s">
        <v>64</v>
      </c>
      <c r="K53" s="190"/>
      <c r="L53" s="190"/>
      <c r="M53" s="190"/>
      <c r="N53" s="191"/>
    </row>
    <row r="54" spans="1:14" x14ac:dyDescent="0.2">
      <c r="A54" s="192"/>
      <c r="B54" s="193"/>
      <c r="C54" s="193"/>
      <c r="D54" s="193"/>
      <c r="E54" s="193"/>
      <c r="F54" s="194"/>
      <c r="G54" s="194"/>
      <c r="H54" s="195"/>
      <c r="I54" s="195"/>
      <c r="J54" s="195"/>
      <c r="K54" s="195"/>
      <c r="L54" s="183"/>
      <c r="M54" s="183"/>
      <c r="N54" s="187"/>
    </row>
    <row r="55" spans="1:14" x14ac:dyDescent="0.2">
      <c r="A55" s="196"/>
      <c r="B55" s="197"/>
      <c r="C55" s="197"/>
      <c r="D55" s="197"/>
      <c r="E55" s="198"/>
      <c r="F55" s="182"/>
      <c r="G55" s="182"/>
      <c r="H55" s="197"/>
      <c r="I55" s="197"/>
      <c r="J55" s="199"/>
      <c r="K55" s="199"/>
      <c r="L55" s="182"/>
      <c r="M55" s="182"/>
      <c r="N55" s="200"/>
    </row>
    <row r="56" spans="1:14" x14ac:dyDescent="0.2">
      <c r="A56" s="196"/>
      <c r="B56" s="197"/>
      <c r="C56" s="197"/>
      <c r="D56" s="197"/>
      <c r="E56" s="198"/>
      <c r="F56" s="182"/>
      <c r="G56" s="182"/>
      <c r="H56" s="197"/>
      <c r="I56" s="197"/>
      <c r="J56" s="199"/>
      <c r="K56" s="199"/>
      <c r="L56" s="182"/>
      <c r="M56" s="182"/>
      <c r="N56" s="200"/>
    </row>
    <row r="57" spans="1:14" x14ac:dyDescent="0.2">
      <c r="A57" s="196"/>
      <c r="B57" s="197"/>
      <c r="C57" s="197"/>
      <c r="D57" s="197"/>
      <c r="E57" s="198"/>
      <c r="F57" s="182"/>
      <c r="G57" s="182"/>
      <c r="H57" s="197"/>
      <c r="I57" s="197"/>
      <c r="J57" s="199"/>
      <c r="K57" s="199"/>
      <c r="L57" s="182"/>
      <c r="M57" s="182"/>
      <c r="N57" s="200"/>
    </row>
    <row r="58" spans="1:14" x14ac:dyDescent="0.2">
      <c r="A58" s="196"/>
      <c r="B58" s="197"/>
      <c r="C58" s="197"/>
      <c r="D58" s="197"/>
      <c r="E58" s="198"/>
      <c r="F58" s="182"/>
      <c r="G58" s="182"/>
      <c r="H58" s="197"/>
      <c r="I58" s="197"/>
      <c r="J58" s="199"/>
      <c r="K58" s="199"/>
      <c r="L58" s="186"/>
      <c r="M58" s="183"/>
      <c r="N58" s="200"/>
    </row>
    <row r="59" spans="1:14" ht="13.5" thickBot="1" x14ac:dyDescent="0.25">
      <c r="A59" s="201" t="s">
        <v>2</v>
      </c>
      <c r="B59" s="202"/>
      <c r="C59" s="202"/>
      <c r="D59" s="202" t="str">
        <f>G17</f>
        <v>Михайлова И.Н. (ВК, Санкт-Петербург)</v>
      </c>
      <c r="E59" s="202"/>
      <c r="F59" s="202"/>
      <c r="G59" s="203" t="str">
        <f>G18</f>
        <v>Валова А.С. (ВК, Санкт-Петербург)</v>
      </c>
      <c r="H59" s="203"/>
      <c r="I59" s="203"/>
      <c r="J59" s="204" t="str">
        <f>G19</f>
        <v>Соловьев Г.Н. (ВК, Санкт-Петербург)</v>
      </c>
      <c r="K59" s="204"/>
      <c r="L59" s="204"/>
      <c r="M59" s="204"/>
      <c r="N59" s="205"/>
    </row>
    <row r="60" spans="1:14" ht="13.5" thickTop="1" x14ac:dyDescent="0.2"/>
  </sheetData>
  <mergeCells count="43">
    <mergeCell ref="A53:C53"/>
    <mergeCell ref="D53:F53"/>
    <mergeCell ref="G53:I53"/>
    <mergeCell ref="J53:N53"/>
    <mergeCell ref="A54:E54"/>
    <mergeCell ref="A59:C59"/>
    <mergeCell ref="D59:F59"/>
    <mergeCell ref="G59:I59"/>
    <mergeCell ref="J59:N59"/>
    <mergeCell ref="L21:L22"/>
    <mergeCell ref="M21:M22"/>
    <mergeCell ref="N21:N22"/>
    <mergeCell ref="N27:N29"/>
    <mergeCell ref="A44:D44"/>
    <mergeCell ref="L44:N44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23622047244094488" right="0.23622047244094488" top="0.33458333333333334" bottom="0.35739583333333336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юниоры 19-22 кв (2)</vt:lpstr>
      <vt:lpstr>'ком спринт юниоры 19-22 кв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2023-06-08T16:27:46Z</dcterms:created>
  <dcterms:modified xsi:type="dcterms:W3CDTF">2023-06-08T16:28:54Z</dcterms:modified>
</cp:coreProperties>
</file>