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спринт юниорки 19-22 кв (4" sheetId="1" r:id="rId1"/>
  </sheets>
  <externalReferences>
    <externalReference r:id="rId2"/>
  </externalReferences>
  <definedNames>
    <definedName name="_xlnm.Print_Area" localSheetId="0">'ком спринт юниорки 19-22 кв (4'!$A$1:$N$58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J36" i="1"/>
  <c r="I36" i="1"/>
  <c r="J58" i="1"/>
  <c r="G58" i="1"/>
  <c r="D58" i="1"/>
  <c r="H50" i="1"/>
  <c r="J49" i="1"/>
  <c r="H49" i="1"/>
  <c r="H48" i="1"/>
  <c r="N41" i="1"/>
  <c r="K41" i="1"/>
  <c r="G41" i="1"/>
  <c r="F41" i="1"/>
  <c r="E41" i="1"/>
  <c r="D41" i="1"/>
  <c r="C41" i="1"/>
  <c r="A41" i="1"/>
  <c r="N40" i="1"/>
  <c r="G40" i="1"/>
  <c r="F40" i="1"/>
  <c r="E40" i="1"/>
  <c r="D40" i="1"/>
  <c r="C40" i="1"/>
  <c r="A40" i="1"/>
  <c r="M39" i="1"/>
  <c r="L39" i="1"/>
  <c r="L41" i="1" s="1"/>
  <c r="J39" i="1"/>
  <c r="I39" i="1"/>
  <c r="G39" i="1"/>
  <c r="F39" i="1"/>
  <c r="E39" i="1"/>
  <c r="D39" i="1"/>
  <c r="C39" i="1"/>
  <c r="G38" i="1"/>
  <c r="F38" i="1"/>
  <c r="E38" i="1"/>
  <c r="D38" i="1"/>
  <c r="C38" i="1"/>
  <c r="A38" i="1"/>
  <c r="G37" i="1"/>
  <c r="F37" i="1"/>
  <c r="E37" i="1"/>
  <c r="D37" i="1"/>
  <c r="C37" i="1"/>
  <c r="A37" i="1"/>
  <c r="G36" i="1"/>
  <c r="F36" i="1"/>
  <c r="E36" i="1"/>
  <c r="D36" i="1"/>
  <c r="C36" i="1"/>
  <c r="A35" i="1"/>
  <c r="A34" i="1"/>
  <c r="M33" i="1"/>
  <c r="L33" i="1"/>
  <c r="J33" i="1"/>
  <c r="I33" i="1"/>
  <c r="A32" i="1"/>
  <c r="A30" i="1"/>
  <c r="M29" i="1"/>
  <c r="L29" i="1"/>
  <c r="J29" i="1"/>
  <c r="I29" i="1"/>
  <c r="G28" i="1"/>
  <c r="F28" i="1"/>
  <c r="E28" i="1"/>
  <c r="D28" i="1"/>
  <c r="C28" i="1"/>
  <c r="G27" i="1"/>
  <c r="F27" i="1"/>
  <c r="E27" i="1"/>
  <c r="D27" i="1"/>
  <c r="C27" i="1"/>
  <c r="A27" i="1"/>
  <c r="A28" i="1" s="1"/>
  <c r="M26" i="1"/>
  <c r="L26" i="1"/>
  <c r="J26" i="1"/>
  <c r="I26" i="1"/>
  <c r="G26" i="1"/>
  <c r="F26" i="1"/>
  <c r="E26" i="1"/>
  <c r="D26" i="1"/>
  <c r="C26" i="1"/>
  <c r="G25" i="1"/>
  <c r="F25" i="1"/>
  <c r="E25" i="1"/>
  <c r="D25" i="1"/>
  <c r="C25" i="1"/>
  <c r="A25" i="1"/>
  <c r="G24" i="1"/>
  <c r="F24" i="1"/>
  <c r="E24" i="1"/>
  <c r="D24" i="1"/>
  <c r="C24" i="1"/>
  <c r="A24" i="1"/>
  <c r="M23" i="1"/>
  <c r="L23" i="1"/>
  <c r="J23" i="1"/>
  <c r="I23" i="1"/>
  <c r="G23" i="1"/>
  <c r="F23" i="1"/>
  <c r="J47" i="1" s="1"/>
  <c r="E23" i="1"/>
  <c r="D23" i="1"/>
  <c r="C23" i="1"/>
  <c r="L40" i="1" l="1"/>
  <c r="J48" i="1"/>
  <c r="J44" i="1"/>
  <c r="J45" i="1"/>
  <c r="J50" i="1"/>
  <c r="J46" i="1"/>
</calcChain>
</file>

<file path=xl/sharedStrings.xml><?xml version="1.0" encoding="utf-8"?>
<sst xmlns="http://schemas.openxmlformats.org/spreadsheetml/2006/main" count="88" uniqueCount="74">
  <si>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</si>
  <si>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</si>
  <si>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</si>
  <si>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</si>
  <si>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</si>
  <si>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</si>
  <si>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</si>
  <si>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Юниорки 19-22 года</t>
  </si>
  <si>
    <t>МЕСТО ПРОВЕДЕНИЯ: г. Санкт-Петербург</t>
  </si>
  <si>
    <t>НАЧАЛО ГОНКИ:</t>
  </si>
  <si>
    <t>№ ВРВС: 0080441611Я</t>
  </si>
  <si>
    <t>ДАТА ПРОВЕДЕНИЯ: 8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</si>
  <si>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</si>
  <si>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</si>
  <si>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</si>
  <si>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</si>
  <si>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</si>
  <si>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</si>
  <si>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</si>
  <si>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</si>
  <si>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</si>
  <si>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</si>
  <si>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</si>
  <si>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</si>
  <si>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</si>
  <si>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</si>
  <si>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</si>
  <si>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</si>
  <si>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</si>
  <si>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</si>
  <si>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</si>
  <si>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</si>
  <si>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</si>
  <si>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</si>
  <si>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</si>
  <si>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</si>
  <si>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</si>
  <si>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</si>
  <si>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</si>
  <si>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</si>
  <si>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</si>
  <si>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</si>
  <si>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Майсурадзе Лия</t>
  </si>
  <si>
    <t>КМС</t>
  </si>
  <si>
    <t>Ростовская область</t>
  </si>
  <si>
    <t>Агаева Алина</t>
  </si>
  <si>
    <t>Володина Софья</t>
  </si>
  <si>
    <t>МС</t>
  </si>
  <si>
    <t>Ростовская область, Тульская область</t>
  </si>
  <si>
    <t>Красовская Татьяна</t>
  </si>
  <si>
    <t>Вальковская Татьяна</t>
  </si>
  <si>
    <t>Омская область</t>
  </si>
  <si>
    <t>Иванцова Мария</t>
  </si>
  <si>
    <t>Конончук Алла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</si>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</sst>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4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14" fontId="10" fillId="3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64" fontId="10" fillId="3" borderId="20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/>
    </xf>
    <xf numFmtId="165" fontId="17" fillId="0" borderId="28" xfId="0" applyNumberFormat="1" applyFont="1" applyBorder="1" applyAlignment="1">
      <alignment horizontal="center" vertical="center"/>
    </xf>
    <xf numFmtId="2" fontId="16" fillId="0" borderId="20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1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165" fontId="16" fillId="0" borderId="33" xfId="0" applyNumberFormat="1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2" fontId="20" fillId="0" borderId="33" xfId="0" applyNumberFormat="1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4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center" vertical="center"/>
    </xf>
    <xf numFmtId="165" fontId="19" fillId="0" borderId="36" xfId="0" applyNumberFormat="1" applyFont="1" applyBorder="1" applyAlignment="1">
      <alignment horizontal="center" vertical="center"/>
    </xf>
    <xf numFmtId="2" fontId="20" fillId="0" borderId="36" xfId="0" applyNumberFormat="1" applyFont="1" applyBorder="1" applyAlignment="1">
      <alignment horizontal="center" vertical="center"/>
    </xf>
    <xf numFmtId="165" fontId="18" fillId="0" borderId="3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5" fontId="16" fillId="0" borderId="39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165" fontId="17" fillId="0" borderId="3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14" fontId="15" fillId="0" borderId="43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4" fontId="15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47" xfId="3" applyFont="1" applyFill="1" applyBorder="1" applyAlignment="1">
      <alignment horizontal="center" vertical="center"/>
    </xf>
    <xf numFmtId="0" fontId="7" fillId="3" borderId="48" xfId="3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0" fontId="7" fillId="3" borderId="49" xfId="3" applyFont="1" applyFill="1" applyBorder="1" applyAlignment="1">
      <alignment horizontal="center"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2" xfId="3" applyFont="1" applyBorder="1" applyAlignment="1">
      <alignment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2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2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2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2" fillId="4" borderId="13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/>
    </xf>
    <xf numFmtId="0" fontId="22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3" applyBorder="1" applyAlignment="1">
      <alignment horizontal="center"/>
    </xf>
    <xf numFmtId="0" fontId="14" fillId="0" borderId="51" xfId="3" applyBorder="1" applyAlignment="1">
      <alignment horizontal="center"/>
    </xf>
    <xf numFmtId="165" fontId="16" fillId="0" borderId="33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165" fontId="17" fillId="0" borderId="33" xfId="0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65" fontId="17" fillId="0" borderId="36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400050</xdr:colOff>
      <xdr:row>4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19050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466725</xdr:colOff>
      <xdr:row>51</xdr:row>
      <xdr:rowOff>104775</xdr:rowOff>
    </xdr:from>
    <xdr:to>
      <xdr:col>5</xdr:col>
      <xdr:colOff>238125</xdr:colOff>
      <xdr:row>57</xdr:row>
      <xdr:rowOff>104775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48950"/>
          <a:ext cx="17621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52</xdr:row>
      <xdr:rowOff>142875</xdr:rowOff>
    </xdr:from>
    <xdr:to>
      <xdr:col>7</xdr:col>
      <xdr:colOff>304800</xdr:colOff>
      <xdr:row>56</xdr:row>
      <xdr:rowOff>114300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0868025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485775</xdr:colOff>
      <xdr:row>52</xdr:row>
      <xdr:rowOff>9525</xdr:rowOff>
    </xdr:from>
    <xdr:to>
      <xdr:col>12</xdr:col>
      <xdr:colOff>600075</xdr:colOff>
      <xdr:row>57</xdr:row>
      <xdr:rowOff>142875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734675"/>
          <a:ext cx="1733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59"/>
  <sheetViews>
    <sheetView tabSelected="1" topLeftCell="A19" zoomScaleNormal="100" workbookViewId="0">
      <selection activeCell="Q35" sqref="Q35"/>
    </sheetView>
  </sheetViews>
  <sheetFormatPr defaultRowHeight="12.75" x14ac:dyDescent="0.2"/>
  <cols>
    <col min="1" max="1" width="3.7109375" customWidth="1"/>
    <col min="2" max="2" width="4.28515625" customWidth="1"/>
    <col min="3" max="3" width="12.42578125" customWidth="1"/>
    <col min="4" max="4" width="20.140625" customWidth="1"/>
    <col min="5" max="5" width="9.7109375" customWidth="1"/>
    <col min="6" max="6" width="7.28515625" customWidth="1"/>
    <col min="7" max="7" width="20.140625" customWidth="1"/>
    <col min="8" max="10" width="7.85546875" customWidth="1"/>
    <col min="11" max="11" width="9.28515625" customWidth="1"/>
    <col min="12" max="12" width="7.140625" customWidth="1"/>
    <col min="13" max="13" width="9.140625" customWidth="1"/>
    <col min="14" max="14" width="12.85546875" customWidth="1"/>
  </cols>
  <sheetData>
    <row r="1" spans="1:1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9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499999999999993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" customHeight="1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9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9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9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9" ht="6.6" customHeight="1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9" x14ac:dyDescent="0.2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9" ht="13.5" thickBot="1" x14ac:dyDescent="0.25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</row>
    <row r="23" spans="1:19" ht="23.25" customHeight="1" x14ac:dyDescent="0.2">
      <c r="A23" s="82">
        <v>1</v>
      </c>
      <c r="B23" s="83">
        <v>141</v>
      </c>
      <c r="C23" s="84">
        <f>IF(ISBLANK($B23),"",VLOOKUP($B23,[1]список!$B$1:$G$544,2,0))</f>
        <v>10078794700</v>
      </c>
      <c r="D23" s="84" t="str">
        <f>IF(ISBLANK($B23),"",VLOOKUP($B23,[1]список!$B$1:$G$544,3,0))</f>
        <v>Богомолова Елизавета</v>
      </c>
      <c r="E23" s="85">
        <f>IF(ISBLANK($B23),"",VLOOKUP($B23,[1]список!$B$1:$G$544,4,0))</f>
        <v>37812</v>
      </c>
      <c r="F23" s="85" t="str">
        <f>IF(ISBLANK($B23),"",VLOOKUP($B23,[1]список!$B$1:$H$544,5,0))</f>
        <v>МС</v>
      </c>
      <c r="G23" s="86" t="str">
        <f>IF(ISBLANK($B23),"",VLOOKUP($B23,[1]список!$B$1:$H$544,6,0))</f>
        <v>Москва</v>
      </c>
      <c r="H23" s="87">
        <v>2.2302083333333332E-4</v>
      </c>
      <c r="I23" s="88">
        <f>I24-H23</f>
        <v>1.6045138888888885E-4</v>
      </c>
      <c r="J23" s="89">
        <f>K23-I24</f>
        <v>1.7231481481481487E-4</v>
      </c>
      <c r="K23" s="90">
        <v>5.5578703703703704E-4</v>
      </c>
      <c r="L23" s="91">
        <f>0.75/(HOUR(K23)+MINUTE(K23)/60+SECOND(K23)/3600)</f>
        <v>56.249999999999993</v>
      </c>
      <c r="M23" s="92" t="str">
        <f>IF(K23&lt;=TIMEVALUE("0:47,500"),"МСМК",IF(K23&lt;=TIMEVALUE("0:48,700"),"МС",IF(K23&lt;=TIMEVALUE("0:51,500"),"КМС",IF(K23&lt;=TIMEVALUE("0:53,500"),"1 СР",IF(K23&lt;=TIMEVALUE("0:55,500"),"2 СР",IF(K23&lt;=TIMEVALUE("0:57,500"),"3 СР",IF(K23&lt;=TIMEVALUE("1:00,000"),"1 сп.юн.р.")))))))</f>
        <v>МС</v>
      </c>
      <c r="N23" s="93"/>
      <c r="S23" s="94"/>
    </row>
    <row r="24" spans="1:19" ht="23.25" customHeight="1" x14ac:dyDescent="0.2">
      <c r="A24" s="95">
        <f>A23</f>
        <v>1</v>
      </c>
      <c r="B24" s="96">
        <v>142</v>
      </c>
      <c r="C24" s="97">
        <f>IF(ISBLANK($B24),"",VLOOKUP($B24,[1]список!$B$1:$G$544,2,0))</f>
        <v>10077949584</v>
      </c>
      <c r="D24" s="97" t="str">
        <f>IF(ISBLANK($B24),"",VLOOKUP($B24,[1]список!$B$1:$G$544,3,0))</f>
        <v>Благодарова Варвара</v>
      </c>
      <c r="E24" s="98">
        <f>IF(ISBLANK($B24),"",VLOOKUP($B24,[1]список!$B$1:$G$544,4,0))</f>
        <v>37972</v>
      </c>
      <c r="F24" s="98" t="str">
        <f>IF(ISBLANK($B24),"",VLOOKUP($B24,[1]список!$B$1:$H$544,5,0))</f>
        <v>МС</v>
      </c>
      <c r="G24" s="99" t="str">
        <f>IF(ISBLANK($B24),"",VLOOKUP($B24,[1]список!$B$1:$H$544,6,0))</f>
        <v>Москва</v>
      </c>
      <c r="H24" s="100"/>
      <c r="I24" s="100">
        <v>3.8347222222222217E-4</v>
      </c>
      <c r="J24" s="100"/>
      <c r="K24" s="101"/>
      <c r="L24" s="102"/>
      <c r="M24" s="96"/>
      <c r="N24" s="103"/>
      <c r="S24" s="94"/>
    </row>
    <row r="25" spans="1:19" ht="23.25" customHeight="1" thickBot="1" x14ac:dyDescent="0.25">
      <c r="A25" s="104">
        <f>A23</f>
        <v>1</v>
      </c>
      <c r="B25" s="105">
        <v>137</v>
      </c>
      <c r="C25" s="106">
        <f>IF(ISBLANK($B25),"",VLOOKUP($B25,[1]список!$B$1:$G$544,2,0))</f>
        <v>10090187550</v>
      </c>
      <c r="D25" s="106" t="str">
        <f>IF(ISBLANK($B25),"",VLOOKUP($B25,[1]список!$B$1:$G$544,3,0))</f>
        <v>Лысенко Алина</v>
      </c>
      <c r="E25" s="107">
        <f>IF(ISBLANK($B25),"",VLOOKUP($B25,[1]список!$B$1:$G$544,4,0))</f>
        <v>37758</v>
      </c>
      <c r="F25" s="107" t="str">
        <f>IF(ISBLANK($B25),"",VLOOKUP($B25,[1]список!$B$1:$H$544,5,0))</f>
        <v>МСМК</v>
      </c>
      <c r="G25" s="108" t="str">
        <f>IF(ISBLANK($B25),"",VLOOKUP($B25,[1]список!$B$1:$H$544,6,0))</f>
        <v>Москва</v>
      </c>
      <c r="H25" s="109"/>
      <c r="I25" s="109"/>
      <c r="J25" s="109"/>
      <c r="K25" s="110"/>
      <c r="L25" s="111"/>
      <c r="M25" s="105"/>
      <c r="N25" s="112"/>
      <c r="S25" s="94"/>
    </row>
    <row r="26" spans="1:19" ht="23.25" customHeight="1" x14ac:dyDescent="0.2">
      <c r="A26" s="113">
        <v>2</v>
      </c>
      <c r="B26" s="83">
        <v>96</v>
      </c>
      <c r="C26" s="84">
        <f>IF(ISBLANK($B26),"",VLOOKUP($B26,[1]список!$B$1:$G$544,2,0))</f>
        <v>10115496163</v>
      </c>
      <c r="D26" s="84" t="str">
        <f>IF(ISBLANK($B26),"",VLOOKUP($B26,[1]список!$B$1:$G$544,3,0))</f>
        <v>Ефимова Виктория</v>
      </c>
      <c r="E26" s="85">
        <f>IF(ISBLANK($B26),"",VLOOKUP($B26,[1]список!$B$1:$G$544,4,0))</f>
        <v>38895</v>
      </c>
      <c r="F26" s="85" t="str">
        <f>IF(ISBLANK($B26),"",VLOOKUP($B26,[1]список!$B$1:$H$544,5,0))</f>
        <v>КМС</v>
      </c>
      <c r="G26" s="86" t="str">
        <f>IF(ISBLANK($B26),"",VLOOKUP($B26,[1]список!$B$1:$H$544,6,0))</f>
        <v>Санкт-Петербург</v>
      </c>
      <c r="H26" s="87">
        <v>2.392939814814815E-4</v>
      </c>
      <c r="I26" s="88">
        <f>I27-H26</f>
        <v>1.7915509259259263E-4</v>
      </c>
      <c r="J26" s="89">
        <f>K26-I27</f>
        <v>1.8925925925925913E-4</v>
      </c>
      <c r="K26" s="90">
        <v>6.0770833333333326E-4</v>
      </c>
      <c r="L26" s="91">
        <f>0.75/(HOUR(K26)+MINUTE(K26)/60+SECOND(K26)/3600)</f>
        <v>50.943396226415096</v>
      </c>
      <c r="M26" s="92" t="str">
        <f>IF(K26&lt;=TIMEVALUE("0:47,500"),"МСМК",IF(K26&lt;=TIMEVALUE("0:48,700"),"МС",IF(K26&lt;=TIMEVALUE("0:51,500"),"КМС",IF(K26&lt;=TIMEVALUE("0:53,500"),"1 СР",IF(K26&lt;=TIMEVALUE("0:55,500"),"2 СР",IF(K26&lt;=TIMEVALUE("0:57,500"),"3 СР",IF(K26&lt;=TIMEVALUE("1:00,000"),"1 сп.юн.р.")))))))</f>
        <v>1 СР</v>
      </c>
      <c r="N26" s="93"/>
    </row>
    <row r="27" spans="1:19" ht="23.25" customHeight="1" x14ac:dyDescent="0.2">
      <c r="A27" s="95">
        <f>A26</f>
        <v>2</v>
      </c>
      <c r="B27" s="96">
        <v>93</v>
      </c>
      <c r="C27" s="97">
        <f>IF(ISBLANK($B27),"",VLOOKUP($B27,[1]список!$B$1:$G$544,2,0))</f>
        <v>10090420653</v>
      </c>
      <c r="D27" s="97" t="str">
        <f>IF(ISBLANK($B27),"",VLOOKUP($B27,[1]список!$B$1:$G$544,3,0))</f>
        <v>Иминова Камила</v>
      </c>
      <c r="E27" s="98">
        <f>IF(ISBLANK($B27),"",VLOOKUP($B27,[1]список!$B$1:$G$544,4,0))</f>
        <v>38763</v>
      </c>
      <c r="F27" s="98" t="str">
        <f>IF(ISBLANK($B27),"",VLOOKUP($B27,[1]список!$B$1:$H$544,5,0))</f>
        <v>2 СР</v>
      </c>
      <c r="G27" s="99" t="str">
        <f>IF(ISBLANK($B27),"",VLOOKUP($B27,[1]список!$B$1:$H$544,6,0))</f>
        <v>Санкт-Петербург</v>
      </c>
      <c r="H27" s="100"/>
      <c r="I27" s="100">
        <v>4.1844907407407412E-4</v>
      </c>
      <c r="J27" s="100"/>
      <c r="K27" s="101"/>
      <c r="L27" s="102"/>
      <c r="M27" s="96"/>
      <c r="N27" s="103"/>
    </row>
    <row r="28" spans="1:19" ht="23.25" customHeight="1" thickBot="1" x14ac:dyDescent="0.25">
      <c r="A28" s="95">
        <f>A27</f>
        <v>2</v>
      </c>
      <c r="B28" s="105">
        <v>94</v>
      </c>
      <c r="C28" s="106">
        <f>IF(ISBLANK($B28),"",VLOOKUP($B28,[1]список!$B$1:$G$544,2,0))</f>
        <v>10091971239</v>
      </c>
      <c r="D28" s="106" t="str">
        <f>IF(ISBLANK($B28),"",VLOOKUP($B28,[1]список!$B$1:$G$544,3,0))</f>
        <v>Гуца Дарья</v>
      </c>
      <c r="E28" s="107">
        <f>IF(ISBLANK($B28),"",VLOOKUP($B28,[1]список!$B$1:$G$544,4,0))</f>
        <v>38975</v>
      </c>
      <c r="F28" s="107" t="str">
        <f>IF(ISBLANK($B28),"",VLOOKUP($B28,[1]список!$B$1:$H$544,5,0))</f>
        <v>КМС</v>
      </c>
      <c r="G28" s="108" t="str">
        <f>IF(ISBLANK($B28),"",VLOOKUP($B28,[1]список!$B$1:$H$544,6,0))</f>
        <v>Санкт-Петербург</v>
      </c>
      <c r="H28" s="109"/>
      <c r="I28" s="109"/>
      <c r="J28" s="109"/>
      <c r="K28" s="110"/>
      <c r="L28" s="111"/>
      <c r="M28" s="105"/>
      <c r="N28" s="112"/>
    </row>
    <row r="29" spans="1:19" ht="23.25" customHeight="1" x14ac:dyDescent="0.2">
      <c r="A29" s="82">
        <v>3</v>
      </c>
      <c r="B29" s="114">
        <v>178</v>
      </c>
      <c r="C29" s="84">
        <v>10077621303</v>
      </c>
      <c r="D29" s="84" t="s">
        <v>42</v>
      </c>
      <c r="E29" s="85">
        <v>38665</v>
      </c>
      <c r="F29" s="85" t="s">
        <v>43</v>
      </c>
      <c r="G29" s="115" t="s">
        <v>44</v>
      </c>
      <c r="H29" s="116">
        <v>2.4208333333333333E-4</v>
      </c>
      <c r="I29" s="117">
        <f>I30-H29</f>
        <v>1.876620370370371E-4</v>
      </c>
      <c r="J29" s="118">
        <f>K29-I30</f>
        <v>1.8118055555555547E-4</v>
      </c>
      <c r="K29" s="119">
        <v>6.1092592592592589E-4</v>
      </c>
      <c r="L29" s="91">
        <f>0.75/(HOUR(K29)+MINUTE(K29)/60+SECOND(K29)/3600)</f>
        <v>50.943396226415096</v>
      </c>
      <c r="M29" s="92" t="str">
        <f>IF(K29&lt;=TIMEVALUE("0:47,500"),"МСМК",IF(K29&lt;=TIMEVALUE("0:48,700"),"МС",IF(K29&lt;=TIMEVALUE("0:51,500"),"КМС",IF(K29&lt;=TIMEVALUE("0:53,500"),"1 СР",IF(K29&lt;=TIMEVALUE("0:55,500"),"2 СР",IF(K29&lt;=TIMEVALUE("0:57,500"),"3 СР",IF(K29&lt;=TIMEVALUE("1:00,000"),"1 сп.юн.р.")))))))</f>
        <v>1 СР</v>
      </c>
      <c r="N29" s="120"/>
    </row>
    <row r="30" spans="1:19" ht="23.25" customHeight="1" x14ac:dyDescent="0.2">
      <c r="A30" s="95">
        <f>A29</f>
        <v>3</v>
      </c>
      <c r="B30" s="121">
        <v>177</v>
      </c>
      <c r="C30" s="97">
        <v>10077621606</v>
      </c>
      <c r="D30" s="97" t="s">
        <v>45</v>
      </c>
      <c r="E30" s="98">
        <v>38545</v>
      </c>
      <c r="F30" s="98" t="s">
        <v>43</v>
      </c>
      <c r="G30" s="122" t="s">
        <v>44</v>
      </c>
      <c r="H30" s="100"/>
      <c r="I30" s="100">
        <v>4.2974537037037043E-4</v>
      </c>
      <c r="J30" s="100"/>
      <c r="K30" s="101"/>
      <c r="L30" s="102"/>
      <c r="M30" s="96"/>
      <c r="N30" s="103"/>
    </row>
    <row r="31" spans="1:19" ht="23.25" customHeight="1" x14ac:dyDescent="0.2">
      <c r="A31" s="95"/>
      <c r="B31" s="123">
        <v>179</v>
      </c>
      <c r="C31" s="124">
        <v>10036021437</v>
      </c>
      <c r="D31" s="124" t="s">
        <v>46</v>
      </c>
      <c r="E31" s="125">
        <v>37302</v>
      </c>
      <c r="F31" s="125" t="s">
        <v>47</v>
      </c>
      <c r="G31" s="126" t="s">
        <v>48</v>
      </c>
      <c r="H31" s="100"/>
      <c r="I31" s="100"/>
      <c r="J31" s="100"/>
      <c r="K31" s="101"/>
      <c r="L31" s="102"/>
      <c r="M31" s="127"/>
      <c r="N31" s="103"/>
    </row>
    <row r="32" spans="1:19" ht="23.25" customHeight="1" thickBot="1" x14ac:dyDescent="0.25">
      <c r="A32" s="104">
        <f>A29</f>
        <v>3</v>
      </c>
      <c r="B32" s="128">
        <v>180</v>
      </c>
      <c r="C32" s="129">
        <v>10055891380</v>
      </c>
      <c r="D32" s="129" t="s">
        <v>49</v>
      </c>
      <c r="E32" s="130">
        <v>38054</v>
      </c>
      <c r="F32" s="130" t="s">
        <v>47</v>
      </c>
      <c r="G32" s="131" t="s">
        <v>44</v>
      </c>
      <c r="H32" s="109"/>
      <c r="I32" s="109"/>
      <c r="J32" s="109"/>
      <c r="K32" s="110"/>
      <c r="L32" s="111"/>
      <c r="M32" s="105"/>
      <c r="N32" s="112"/>
    </row>
    <row r="33" spans="1:19" ht="23.25" customHeight="1" x14ac:dyDescent="0.2">
      <c r="A33" s="113">
        <v>4</v>
      </c>
      <c r="B33" s="132">
        <v>208</v>
      </c>
      <c r="C33" s="84">
        <v>10036076607</v>
      </c>
      <c r="D33" s="84" t="s">
        <v>50</v>
      </c>
      <c r="E33" s="85">
        <v>37625</v>
      </c>
      <c r="F33" s="85" t="s">
        <v>43</v>
      </c>
      <c r="G33" s="115" t="s">
        <v>51</v>
      </c>
      <c r="H33" s="116">
        <v>2.5863425925925929E-4</v>
      </c>
      <c r="I33" s="117">
        <f>I34-H33</f>
        <v>1.7613425925925923E-4</v>
      </c>
      <c r="J33" s="118">
        <f>K33-I34</f>
        <v>1.7782407407407411E-4</v>
      </c>
      <c r="K33" s="119">
        <v>6.1259259259259264E-4</v>
      </c>
      <c r="L33" s="91">
        <f>0.75/(HOUR(K33)+MINUTE(K33)/60+SECOND(K33)/3600)</f>
        <v>50.943396226415096</v>
      </c>
      <c r="M33" s="92" t="str">
        <f>IF(K33&lt;=TIMEVALUE("0:47,500"),"МСМК",IF(K33&lt;=TIMEVALUE("0:48,700"),"МС",IF(K33&lt;=TIMEVALUE("0:51,500"),"КМС",IF(K33&lt;=TIMEVALUE("0:53,500"),"1 СР",IF(K33&lt;=TIMEVALUE("0:55,500"),"2 СР",IF(K33&lt;=TIMEVALUE("0:57,500"),"3 СР",IF(K33&lt;=TIMEVALUE("1:00,000"),"1 сп.юн.р.")))))))</f>
        <v>1 СР</v>
      </c>
      <c r="N33" s="120"/>
    </row>
    <row r="34" spans="1:19" ht="23.25" customHeight="1" x14ac:dyDescent="0.2">
      <c r="A34" s="95">
        <f>A33</f>
        <v>4</v>
      </c>
      <c r="B34" s="133">
        <v>207</v>
      </c>
      <c r="C34" s="97">
        <v>10036059328</v>
      </c>
      <c r="D34" s="97" t="s">
        <v>52</v>
      </c>
      <c r="E34" s="98">
        <v>37004</v>
      </c>
      <c r="F34" s="98" t="s">
        <v>47</v>
      </c>
      <c r="G34" s="122" t="s">
        <v>51</v>
      </c>
      <c r="H34" s="100"/>
      <c r="I34" s="100">
        <v>4.3476851851851852E-4</v>
      </c>
      <c r="J34" s="100"/>
      <c r="K34" s="101"/>
      <c r="L34" s="102"/>
      <c r="M34" s="96"/>
      <c r="N34" s="103"/>
    </row>
    <row r="35" spans="1:19" ht="23.25" customHeight="1" thickBot="1" x14ac:dyDescent="0.25">
      <c r="A35" s="95">
        <f>A33</f>
        <v>4</v>
      </c>
      <c r="B35" s="134">
        <v>206</v>
      </c>
      <c r="C35" s="106">
        <v>10083324192</v>
      </c>
      <c r="D35" s="106" t="s">
        <v>53</v>
      </c>
      <c r="E35" s="107">
        <v>37694</v>
      </c>
      <c r="F35" s="107" t="s">
        <v>47</v>
      </c>
      <c r="G35" s="135" t="s">
        <v>51</v>
      </c>
      <c r="H35" s="100"/>
      <c r="I35" s="100"/>
      <c r="J35" s="100"/>
      <c r="K35" s="101"/>
      <c r="L35" s="102"/>
      <c r="M35" s="127"/>
      <c r="N35" s="103"/>
    </row>
    <row r="36" spans="1:19" ht="23.25" customHeight="1" x14ac:dyDescent="0.2">
      <c r="A36" s="82">
        <v>5</v>
      </c>
      <c r="B36" s="132">
        <v>183</v>
      </c>
      <c r="C36" s="84">
        <f>IF(ISBLANK($B36),"",VLOOKUP($B36,[1]список!$B$1:$G$544,2,0))</f>
        <v>10128428485</v>
      </c>
      <c r="D36" s="84" t="str">
        <f>IF(ISBLANK($B36),"",VLOOKUP($B36,[1]список!$B$1:$G$544,3,0))</f>
        <v>Мартынова Александра</v>
      </c>
      <c r="E36" s="85">
        <f>IF(ISBLANK($B36),"",VLOOKUP($B36,[1]список!$B$1:$G$544,4,0))</f>
        <v>38678</v>
      </c>
      <c r="F36" s="85" t="str">
        <f>IF(ISBLANK($B36),"",VLOOKUP($B36,[1]список!$B$1:$H$544,5,0))</f>
        <v>КМС</v>
      </c>
      <c r="G36" s="86" t="str">
        <f>IF(ISBLANK($B36),"",VLOOKUP($B36,[1]список!$B$1:$H$544,6,0))</f>
        <v>Республика Удмуртия</v>
      </c>
      <c r="H36" s="194">
        <v>2.5037037037037036E-4</v>
      </c>
      <c r="I36" s="195">
        <f>I37-H36</f>
        <v>1.9297453703703707E-4</v>
      </c>
      <c r="J36" s="100">
        <f>K36-I37</f>
        <v>1.9151620370370367E-4</v>
      </c>
      <c r="K36" s="196">
        <v>6.3486111111111111E-4</v>
      </c>
      <c r="L36" s="197">
        <f>0.75/(HOUR(K36)+MINUTE(K36)/60+SECOND(K36)/3600)</f>
        <v>49.090909090909093</v>
      </c>
      <c r="M36" s="198" t="str">
        <f>IF(K36&lt;=TIMEVALUE("0:47,500"),"МСМК",IF(K36&lt;=TIMEVALUE("0:48,700"),"МС",IF(K36&lt;=TIMEVALUE("0:51,500"),"КМС",IF(K36&lt;=TIMEVALUE("0:53,500"),"1 СР",IF(K36&lt;=TIMEVALUE("0:55,500"),"2 СР",IF(K36&lt;=TIMEVALUE("0:57,500"),"3 СР",IF(K36&lt;=TIMEVALUE("1:00,000"),"1 сп.юн.р.")))))))</f>
        <v>2 СР</v>
      </c>
      <c r="N36" s="93"/>
    </row>
    <row r="37" spans="1:19" ht="23.25" customHeight="1" x14ac:dyDescent="0.2">
      <c r="A37" s="95">
        <f>A36</f>
        <v>5</v>
      </c>
      <c r="B37" s="133">
        <v>182</v>
      </c>
      <c r="C37" s="97">
        <f>IF(ISBLANK($B37),"",VLOOKUP($B37,[1]список!$B$1:$G$544,2,0))</f>
        <v>10077689001</v>
      </c>
      <c r="D37" s="97" t="str">
        <f>IF(ISBLANK($B37),"",VLOOKUP($B37,[1]список!$B$1:$G$544,3,0))</f>
        <v>Корлякова Евдокия</v>
      </c>
      <c r="E37" s="98">
        <f>IF(ISBLANK($B37),"",VLOOKUP($B37,[1]список!$B$1:$G$544,4,0))</f>
        <v>38574</v>
      </c>
      <c r="F37" s="98" t="str">
        <f>IF(ISBLANK($B37),"",VLOOKUP($B37,[1]список!$B$1:$H$544,5,0))</f>
        <v>КМС</v>
      </c>
      <c r="G37" s="99" t="str">
        <f>IF(ISBLANK($B37),"",VLOOKUP($B37,[1]список!$B$1:$H$544,6,0))</f>
        <v>Республика Удмуртия</v>
      </c>
      <c r="H37" s="100"/>
      <c r="I37" s="100">
        <v>4.4334490740740744E-4</v>
      </c>
      <c r="J37" s="100"/>
      <c r="K37" s="196"/>
      <c r="L37" s="102"/>
      <c r="M37" s="199"/>
      <c r="N37" s="103"/>
    </row>
    <row r="38" spans="1:19" ht="23.25" customHeight="1" thickBot="1" x14ac:dyDescent="0.25">
      <c r="A38" s="104">
        <f>A36</f>
        <v>5</v>
      </c>
      <c r="B38" s="134">
        <v>181</v>
      </c>
      <c r="C38" s="106">
        <f>IF(ISBLANK($B38),"",VLOOKUP($B38,[1]список!$B$1:$G$544,2,0))</f>
        <v>10077686068</v>
      </c>
      <c r="D38" s="106" t="str">
        <f>IF(ISBLANK($B38),"",VLOOKUP($B38,[1]список!$B$1:$G$544,3,0))</f>
        <v>Коновалова Александра</v>
      </c>
      <c r="E38" s="107">
        <f>IF(ISBLANK($B38),"",VLOOKUP($B38,[1]список!$B$1:$G$544,4,0))</f>
        <v>36960</v>
      </c>
      <c r="F38" s="107" t="str">
        <f>IF(ISBLANK($B38),"",VLOOKUP($B38,[1]список!$B$1:$H$544,5,0))</f>
        <v>МС</v>
      </c>
      <c r="G38" s="108" t="str">
        <f>IF(ISBLANK($B38),"",VLOOKUP($B38,[1]список!$B$1:$H$544,6,0))</f>
        <v>Республика Удмуртия</v>
      </c>
      <c r="H38" s="109"/>
      <c r="I38" s="109"/>
      <c r="J38" s="109"/>
      <c r="K38" s="200"/>
      <c r="L38" s="111"/>
      <c r="M38" s="201"/>
      <c r="N38" s="112"/>
    </row>
    <row r="39" spans="1:19" ht="23.25" hidden="1" customHeight="1" x14ac:dyDescent="0.2">
      <c r="A39" s="82">
        <v>6</v>
      </c>
      <c r="B39" s="83"/>
      <c r="C39" s="84" t="str">
        <f>IF(ISBLANK($B39),"",VLOOKUP($B39,[1]список!$B$1:$G$544,2,0))</f>
        <v/>
      </c>
      <c r="D39" s="84" t="str">
        <f>IF(ISBLANK($B39),"",VLOOKUP($B39,[1]список!$B$1:$G$544,3,0))</f>
        <v/>
      </c>
      <c r="E39" s="85" t="str">
        <f>IF(ISBLANK($B39),"",VLOOKUP($B39,[1]список!$B$1:$G$544,4,0))</f>
        <v/>
      </c>
      <c r="F39" s="85" t="str">
        <f>IF(ISBLANK($B39),"",VLOOKUP($B39,[1]список!$B$1:$H$544,5,0))</f>
        <v/>
      </c>
      <c r="G39" s="86" t="str">
        <f>IF(ISBLANK($B39),"",VLOOKUP($B39,[1]список!$B$1:$H$544,6,0))</f>
        <v/>
      </c>
      <c r="H39" s="87"/>
      <c r="I39" s="88">
        <f>I40-H39</f>
        <v>0</v>
      </c>
      <c r="J39" s="89">
        <f>K39-J40</f>
        <v>0</v>
      </c>
      <c r="K39" s="90"/>
      <c r="L39" s="91" t="e">
        <f>0.75/(HOUR(K39)+MINUTE(K39)/60+SECOND(K39)/3600)</f>
        <v>#DIV/0!</v>
      </c>
      <c r="M39" s="92" t="str">
        <f>IF(K39&lt;=TIMEVALUE("0:47,500"),"МСМК",IF(K39&lt;=TIMEVALUE("0:48,700"),"МС",IF(K39&lt;=TIMEVALUE("0:51,500"),"КМС",IF(K39&lt;=TIMEVALUE("0:53,500"),"1 СР",IF(K39&lt;=TIMEVALUE("0:55,500"),"2 СР",IF(K39&lt;=TIMEVALUE("0:57,500"),"3 СР",IF(K39&lt;=TIMEVALUE("1:00,000"),"1 сп.юн.р.")))))))</f>
        <v>МСМК</v>
      </c>
      <c r="N39" s="93"/>
    </row>
    <row r="40" spans="1:19" ht="23.25" hidden="1" customHeight="1" x14ac:dyDescent="0.2">
      <c r="A40" s="95">
        <f>A39</f>
        <v>6</v>
      </c>
      <c r="B40" s="96"/>
      <c r="C40" s="97" t="str">
        <f>IF(ISBLANK($B40),"",VLOOKUP($B40,[1]список!$B$1:$G$544,2,0))</f>
        <v/>
      </c>
      <c r="D40" s="97" t="str">
        <f>IF(ISBLANK($B40),"",VLOOKUP($B40,[1]список!$B$1:$G$544,3,0))</f>
        <v/>
      </c>
      <c r="E40" s="98" t="str">
        <f>IF(ISBLANK($B40),"",VLOOKUP($B40,[1]список!$B$1:$G$544,4,0))</f>
        <v/>
      </c>
      <c r="F40" s="98" t="str">
        <f>IF(ISBLANK($B40),"",VLOOKUP($B40,[1]список!$B$1:$H$544,5,0))</f>
        <v/>
      </c>
      <c r="G40" s="99" t="str">
        <f>IF(ISBLANK($B40),"",VLOOKUP($B40,[1]список!$B$1:$H$544,6,0))</f>
        <v/>
      </c>
      <c r="H40" s="100"/>
      <c r="I40" s="100"/>
      <c r="J40" s="100"/>
      <c r="K40" s="101"/>
      <c r="L40" s="102" t="e">
        <f>L39</f>
        <v>#DIV/0!</v>
      </c>
      <c r="M40" s="96"/>
      <c r="N40" s="103">
        <f>N39</f>
        <v>0</v>
      </c>
      <c r="S40" s="94"/>
    </row>
    <row r="41" spans="1:19" ht="23.25" hidden="1" customHeight="1" x14ac:dyDescent="0.2">
      <c r="A41" s="104">
        <f>A39</f>
        <v>6</v>
      </c>
      <c r="B41" s="105"/>
      <c r="C41" s="106" t="str">
        <f>IF(ISBLANK($B41),"",VLOOKUP($B41,[1]список!$B$1:$G$544,2,0))</f>
        <v/>
      </c>
      <c r="D41" s="106" t="str">
        <f>IF(ISBLANK($B41),"",VLOOKUP($B41,[1]список!$B$1:$G$544,3,0))</f>
        <v/>
      </c>
      <c r="E41" s="107" t="str">
        <f>IF(ISBLANK($B41),"",VLOOKUP($B41,[1]список!$B$1:$G$544,4,0))</f>
        <v/>
      </c>
      <c r="F41" s="107" t="str">
        <f>IF(ISBLANK($B41),"",VLOOKUP($B41,[1]список!$B$1:$H$544,5,0))</f>
        <v/>
      </c>
      <c r="G41" s="108" t="str">
        <f>IF(ISBLANK($B41),"",VLOOKUP($B41,[1]список!$B$1:$H$544,6,0))</f>
        <v/>
      </c>
      <c r="H41" s="136"/>
      <c r="I41" s="136"/>
      <c r="J41" s="136"/>
      <c r="K41" s="110">
        <f>K39</f>
        <v>0</v>
      </c>
      <c r="L41" s="111" t="e">
        <f>L39</f>
        <v>#DIV/0!</v>
      </c>
      <c r="M41" s="105"/>
      <c r="N41" s="112">
        <f>N39</f>
        <v>0</v>
      </c>
      <c r="S41" s="94"/>
    </row>
    <row r="42" spans="1:19" ht="16.5" thickBot="1" x14ac:dyDescent="0.25">
      <c r="A42" s="137"/>
      <c r="B42" s="138"/>
      <c r="C42" s="138"/>
      <c r="D42" s="139"/>
      <c r="E42" s="140"/>
      <c r="F42" s="141"/>
      <c r="G42" s="142"/>
      <c r="H42" s="143"/>
      <c r="I42" s="143"/>
      <c r="J42" s="143"/>
      <c r="K42" s="143"/>
      <c r="L42" s="144"/>
      <c r="M42" s="145"/>
      <c r="N42" s="146"/>
      <c r="S42" s="94"/>
    </row>
    <row r="43" spans="1:19" ht="15.75" thickTop="1" x14ac:dyDescent="0.2">
      <c r="A43" s="147" t="s">
        <v>54</v>
      </c>
      <c r="B43" s="148"/>
      <c r="C43" s="148"/>
      <c r="D43" s="148"/>
      <c r="E43" s="149"/>
      <c r="F43" s="149"/>
      <c r="G43" s="149" t="s">
        <v>55</v>
      </c>
      <c r="H43" s="149"/>
      <c r="I43" s="149"/>
      <c r="J43" s="149"/>
      <c r="K43" s="149"/>
      <c r="L43" s="148"/>
      <c r="M43" s="148"/>
      <c r="N43" s="150"/>
      <c r="S43" s="94"/>
    </row>
    <row r="44" spans="1:19" x14ac:dyDescent="0.2">
      <c r="A44" s="151" t="s">
        <v>56</v>
      </c>
      <c r="B44" s="152"/>
      <c r="C44" s="153"/>
      <c r="D44" s="154"/>
      <c r="E44" s="155"/>
      <c r="F44" s="156"/>
      <c r="G44" s="157" t="s">
        <v>57</v>
      </c>
      <c r="H44" s="158">
        <v>5</v>
      </c>
      <c r="I44" s="159" t="s">
        <v>58</v>
      </c>
      <c r="J44" s="160">
        <f>COUNTIF(F5:F59,"ЗМС")</f>
        <v>0</v>
      </c>
      <c r="K44" s="157"/>
      <c r="L44" s="161"/>
      <c r="M44" s="162"/>
      <c r="N44" s="163"/>
      <c r="S44" s="94"/>
    </row>
    <row r="45" spans="1:19" x14ac:dyDescent="0.2">
      <c r="A45" s="156" t="s">
        <v>59</v>
      </c>
      <c r="B45" s="152"/>
      <c r="C45" s="164"/>
      <c r="D45" s="154"/>
      <c r="E45" s="155"/>
      <c r="F45" s="156"/>
      <c r="G45" s="165" t="s">
        <v>60</v>
      </c>
      <c r="H45" s="158">
        <v>5</v>
      </c>
      <c r="I45" s="159" t="s">
        <v>61</v>
      </c>
      <c r="J45" s="160">
        <f>COUNTIF(F5:F59,"МСМК")</f>
        <v>1</v>
      </c>
      <c r="K45" s="165"/>
      <c r="L45" s="161"/>
      <c r="M45" s="162"/>
      <c r="N45" s="163"/>
    </row>
    <row r="46" spans="1:19" x14ac:dyDescent="0.2">
      <c r="A46" s="151"/>
      <c r="B46" s="152"/>
      <c r="C46" s="166"/>
      <c r="D46" s="154"/>
      <c r="E46" s="155"/>
      <c r="F46" s="156"/>
      <c r="G46" s="165" t="s">
        <v>62</v>
      </c>
      <c r="H46" s="158">
        <v>5</v>
      </c>
      <c r="I46" s="159" t="s">
        <v>47</v>
      </c>
      <c r="J46" s="160">
        <f>COUNTIF(F5:F59,"МС")</f>
        <v>7</v>
      </c>
      <c r="K46" s="165"/>
      <c r="L46" s="161"/>
      <c r="M46" s="162"/>
      <c r="N46" s="163"/>
    </row>
    <row r="47" spans="1:19" x14ac:dyDescent="0.2">
      <c r="A47" s="151"/>
      <c r="B47" s="152"/>
      <c r="C47" s="166"/>
      <c r="D47" s="154"/>
      <c r="E47" s="155"/>
      <c r="F47" s="156"/>
      <c r="G47" s="165" t="s">
        <v>63</v>
      </c>
      <c r="H47" s="158">
        <v>5</v>
      </c>
      <c r="I47" s="159" t="s">
        <v>43</v>
      </c>
      <c r="J47" s="160">
        <f>COUNTIF(F5:F59,"КМС")</f>
        <v>7</v>
      </c>
      <c r="K47" s="165"/>
      <c r="L47" s="161"/>
      <c r="M47" s="162"/>
      <c r="N47" s="163"/>
    </row>
    <row r="48" spans="1:19" x14ac:dyDescent="0.2">
      <c r="A48" s="151"/>
      <c r="B48" s="152"/>
      <c r="C48" s="166"/>
      <c r="D48" s="154"/>
      <c r="E48" s="155"/>
      <c r="F48" s="156"/>
      <c r="G48" s="165" t="s">
        <v>64</v>
      </c>
      <c r="H48" s="158">
        <f>COUNTIF(B5:B59,"НФ")</f>
        <v>0</v>
      </c>
      <c r="I48" s="159" t="s">
        <v>65</v>
      </c>
      <c r="J48" s="160">
        <f>COUNTIF(F5:F59,"1 СР")</f>
        <v>0</v>
      </c>
      <c r="K48" s="165"/>
      <c r="L48" s="161"/>
      <c r="M48" s="162"/>
      <c r="N48" s="163"/>
    </row>
    <row r="49" spans="1:14" x14ac:dyDescent="0.2">
      <c r="A49" s="151"/>
      <c r="B49" s="152"/>
      <c r="C49" s="152"/>
      <c r="D49" s="154"/>
      <c r="E49" s="155"/>
      <c r="F49" s="156"/>
      <c r="G49" s="165" t="s">
        <v>66</v>
      </c>
      <c r="H49" s="158">
        <f>COUNTIF(B5:B59,"ДСКВ")</f>
        <v>0</v>
      </c>
      <c r="I49" s="167" t="s">
        <v>67</v>
      </c>
      <c r="J49" s="160">
        <f>COUNTIF(F5:F59,"2 СР")</f>
        <v>1</v>
      </c>
      <c r="K49" s="165"/>
      <c r="L49" s="161"/>
      <c r="M49" s="168"/>
      <c r="N49" s="163"/>
    </row>
    <row r="50" spans="1:14" x14ac:dyDescent="0.2">
      <c r="A50" s="151"/>
      <c r="B50" s="152"/>
      <c r="C50" s="152"/>
      <c r="D50" s="154"/>
      <c r="E50" s="155"/>
      <c r="F50" s="156"/>
      <c r="G50" s="165" t="s">
        <v>68</v>
      </c>
      <c r="H50" s="158">
        <f>COUNTIF(B5:B59,"НС")</f>
        <v>0</v>
      </c>
      <c r="I50" s="167" t="s">
        <v>69</v>
      </c>
      <c r="J50" s="160">
        <f>COUNTIF(F5:F59,"3 СР")</f>
        <v>0</v>
      </c>
      <c r="K50" s="165"/>
      <c r="L50" s="161"/>
      <c r="M50" s="168"/>
      <c r="N50" s="163"/>
    </row>
    <row r="51" spans="1:14" x14ac:dyDescent="0.2">
      <c r="A51" s="169"/>
      <c r="B51" s="170"/>
      <c r="C51" s="170"/>
      <c r="D51" s="171"/>
      <c r="E51" s="172"/>
      <c r="F51" s="171"/>
      <c r="G51" s="171"/>
      <c r="H51" s="173"/>
      <c r="I51" s="173"/>
      <c r="J51" s="173"/>
      <c r="K51" s="173"/>
      <c r="L51" s="174"/>
      <c r="M51" s="171"/>
      <c r="N51" s="175"/>
    </row>
    <row r="52" spans="1:14" ht="14.45" customHeight="1" x14ac:dyDescent="0.2">
      <c r="A52" s="176" t="s">
        <v>70</v>
      </c>
      <c r="B52" s="177"/>
      <c r="C52" s="177"/>
      <c r="D52" s="177" t="s">
        <v>71</v>
      </c>
      <c r="E52" s="177"/>
      <c r="F52" s="177"/>
      <c r="G52" s="177" t="s">
        <v>72</v>
      </c>
      <c r="H52" s="177"/>
      <c r="I52" s="177"/>
      <c r="J52" s="178" t="s">
        <v>73</v>
      </c>
      <c r="K52" s="178"/>
      <c r="L52" s="178"/>
      <c r="M52" s="178"/>
      <c r="N52" s="179"/>
    </row>
    <row r="53" spans="1:14" x14ac:dyDescent="0.2">
      <c r="A53" s="180"/>
      <c r="B53" s="181"/>
      <c r="C53" s="181"/>
      <c r="D53" s="181"/>
      <c r="E53" s="181"/>
      <c r="F53" s="182"/>
      <c r="G53" s="182"/>
      <c r="H53" s="183"/>
      <c r="I53" s="183"/>
      <c r="J53" s="183"/>
      <c r="K53" s="183"/>
      <c r="L53" s="171"/>
      <c r="M53" s="171"/>
      <c r="N53" s="175"/>
    </row>
    <row r="54" spans="1:14" x14ac:dyDescent="0.2">
      <c r="A54" s="184"/>
      <c r="B54" s="185"/>
      <c r="C54" s="185"/>
      <c r="D54" s="185"/>
      <c r="E54" s="186"/>
      <c r="F54" s="170"/>
      <c r="G54" s="170"/>
      <c r="H54" s="185"/>
      <c r="I54" s="185"/>
      <c r="J54" s="187"/>
      <c r="K54" s="187"/>
      <c r="L54" s="170"/>
      <c r="M54" s="170"/>
      <c r="N54" s="188"/>
    </row>
    <row r="55" spans="1:14" x14ac:dyDescent="0.2">
      <c r="A55" s="184"/>
      <c r="B55" s="185"/>
      <c r="C55" s="185"/>
      <c r="D55" s="185"/>
      <c r="E55" s="186"/>
      <c r="F55" s="170"/>
      <c r="G55" s="170"/>
      <c r="H55" s="185"/>
      <c r="I55" s="185"/>
      <c r="J55" s="187"/>
      <c r="K55" s="187"/>
      <c r="L55" s="170"/>
      <c r="M55" s="170"/>
      <c r="N55" s="188"/>
    </row>
    <row r="56" spans="1:14" x14ac:dyDescent="0.2">
      <c r="A56" s="184"/>
      <c r="B56" s="185"/>
      <c r="C56" s="185"/>
      <c r="D56" s="185"/>
      <c r="E56" s="186"/>
      <c r="F56" s="170"/>
      <c r="G56" s="170"/>
      <c r="H56" s="185"/>
      <c r="I56" s="185"/>
      <c r="J56" s="187"/>
      <c r="K56" s="187"/>
      <c r="L56" s="170"/>
      <c r="M56" s="170"/>
      <c r="N56" s="188"/>
    </row>
    <row r="57" spans="1:14" x14ac:dyDescent="0.2">
      <c r="A57" s="184"/>
      <c r="B57" s="185"/>
      <c r="C57" s="185"/>
      <c r="D57" s="185"/>
      <c r="E57" s="186"/>
      <c r="F57" s="170"/>
      <c r="G57" s="170"/>
      <c r="H57" s="185"/>
      <c r="I57" s="185"/>
      <c r="J57" s="187"/>
      <c r="K57" s="187"/>
      <c r="L57" s="174"/>
      <c r="M57" s="171"/>
      <c r="N57" s="188"/>
    </row>
    <row r="58" spans="1:14" ht="13.5" thickBot="1" x14ac:dyDescent="0.25">
      <c r="A58" s="189" t="s">
        <v>2</v>
      </c>
      <c r="B58" s="190"/>
      <c r="C58" s="190"/>
      <c r="D58" s="190" t="str">
        <f>G17</f>
        <v>Михайлова И.Н. (ВК, Санкт-Петербург)</v>
      </c>
      <c r="E58" s="190"/>
      <c r="F58" s="190"/>
      <c r="G58" s="191" t="str">
        <f>G18</f>
        <v>Валова А.С. (ВК, Санкт-Петербург)</v>
      </c>
      <c r="H58" s="191"/>
      <c r="I58" s="191"/>
      <c r="J58" s="192" t="str">
        <f>G19</f>
        <v>Соловьев Г.Н. (ВК, Санкт-Петербург)</v>
      </c>
      <c r="K58" s="192"/>
      <c r="L58" s="192"/>
      <c r="M58" s="192"/>
      <c r="N58" s="193"/>
    </row>
    <row r="59" spans="1:14" ht="13.5" thickTop="1" x14ac:dyDescent="0.2"/>
  </sheetData>
  <mergeCells count="42">
    <mergeCell ref="A53:E53"/>
    <mergeCell ref="A58:C58"/>
    <mergeCell ref="D58:F58"/>
    <mergeCell ref="G58:I58"/>
    <mergeCell ref="J58:N58"/>
    <mergeCell ref="L21:L22"/>
    <mergeCell ref="M21:M22"/>
    <mergeCell ref="N21:N22"/>
    <mergeCell ref="A43:D43"/>
    <mergeCell ref="L43:N43"/>
    <mergeCell ref="A52:C52"/>
    <mergeCell ref="D52:F52"/>
    <mergeCell ref="G52:I52"/>
    <mergeCell ref="J52:N52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23622047244094488" right="0.23622047244094488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юниорки 19-22 кв (4</vt:lpstr>
      <vt:lpstr>'ком спринт юниорки 19-22 кв (4'!Область_печати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2023-06-08T16:25:09Z</dcterms:created>
  <dcterms:modified xsi:type="dcterms:W3CDTF">2023-06-08T16:26:08Z</dcterms:modified>
</cp:coreProperties>
</file>