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гонка юниоры 17-18 (2)" sheetId="1" r:id="rId1"/>
  </sheets>
  <externalReferences>
    <externalReference r:id="rId2"/>
  </externalReferences>
  <definedNames>
    <definedName name="_xlnm.Print_Area" localSheetId="0">'ком гонка юниоры 17-18 (2)'!$A$1:$O$91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N72" i="1" l="1"/>
  <c r="M72" i="1"/>
  <c r="M73" i="1" s="1"/>
  <c r="K72" i="1"/>
  <c r="J72" i="1"/>
  <c r="I72" i="1"/>
  <c r="M70" i="1"/>
  <c r="N68" i="1"/>
  <c r="M68" i="1"/>
  <c r="M69" i="1" s="1"/>
  <c r="K68" i="1"/>
  <c r="J68" i="1"/>
  <c r="I68" i="1"/>
  <c r="N64" i="1"/>
  <c r="M64" i="1"/>
  <c r="M65" i="1" s="1"/>
  <c r="K64" i="1"/>
  <c r="J64" i="1"/>
  <c r="I64" i="1"/>
  <c r="N60" i="1"/>
  <c r="M60" i="1"/>
  <c r="M62" i="1" s="1"/>
  <c r="K60" i="1"/>
  <c r="J60" i="1"/>
  <c r="I60" i="1"/>
  <c r="N56" i="1"/>
  <c r="M56" i="1"/>
  <c r="M59" i="1" s="1"/>
  <c r="K56" i="1"/>
  <c r="J56" i="1"/>
  <c r="I56" i="1"/>
  <c r="N52" i="1"/>
  <c r="M52" i="1"/>
  <c r="M55" i="1" s="1"/>
  <c r="K52" i="1"/>
  <c r="J52" i="1"/>
  <c r="I52" i="1"/>
  <c r="N48" i="1"/>
  <c r="M48" i="1"/>
  <c r="M51" i="1" s="1"/>
  <c r="K48" i="1"/>
  <c r="J48" i="1"/>
  <c r="I48" i="1"/>
  <c r="N44" i="1"/>
  <c r="M44" i="1"/>
  <c r="M47" i="1" s="1"/>
  <c r="K44" i="1"/>
  <c r="J44" i="1"/>
  <c r="I44" i="1"/>
  <c r="N40" i="1"/>
  <c r="M40" i="1"/>
  <c r="M43" i="1" s="1"/>
  <c r="K40" i="1"/>
  <c r="J40" i="1"/>
  <c r="I40" i="1"/>
  <c r="M91" i="1"/>
  <c r="H91" i="1"/>
  <c r="E91" i="1"/>
  <c r="H84" i="1"/>
  <c r="H83" i="1"/>
  <c r="H82" i="1"/>
  <c r="G75" i="1"/>
  <c r="F75" i="1"/>
  <c r="E75" i="1"/>
  <c r="D75" i="1"/>
  <c r="C75" i="1"/>
  <c r="M74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M39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J36" i="1"/>
  <c r="I36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J32" i="1"/>
  <c r="I32" i="1"/>
  <c r="G32" i="1"/>
  <c r="F32" i="1"/>
  <c r="E32" i="1"/>
  <c r="D32" i="1"/>
  <c r="C32" i="1"/>
  <c r="F31" i="1"/>
  <c r="E31" i="1"/>
  <c r="D31" i="1"/>
  <c r="C31" i="1"/>
  <c r="M30" i="1"/>
  <c r="F30" i="1"/>
  <c r="E30" i="1"/>
  <c r="D30" i="1"/>
  <c r="C30" i="1"/>
  <c r="M29" i="1"/>
  <c r="F29" i="1"/>
  <c r="E29" i="1"/>
  <c r="D29" i="1"/>
  <c r="C29" i="1"/>
  <c r="N28" i="1"/>
  <c r="M28" i="1"/>
  <c r="M31" i="1" s="1"/>
  <c r="K28" i="1"/>
  <c r="J28" i="1"/>
  <c r="I28" i="1"/>
  <c r="F28" i="1"/>
  <c r="E28" i="1"/>
  <c r="D28" i="1"/>
  <c r="C28" i="1"/>
  <c r="G27" i="1"/>
  <c r="F27" i="1"/>
  <c r="E27" i="1"/>
  <c r="D27" i="1"/>
  <c r="C27" i="1"/>
  <c r="G25" i="1"/>
  <c r="F25" i="1"/>
  <c r="E25" i="1"/>
  <c r="D25" i="1"/>
  <c r="C25" i="1"/>
  <c r="G24" i="1"/>
  <c r="F24" i="1"/>
  <c r="E24" i="1"/>
  <c r="D24" i="1"/>
  <c r="C24" i="1"/>
  <c r="N23" i="1"/>
  <c r="M23" i="1"/>
  <c r="M24" i="1" s="1"/>
  <c r="K23" i="1"/>
  <c r="J23" i="1"/>
  <c r="I23" i="1"/>
  <c r="G23" i="1"/>
  <c r="F23" i="1"/>
  <c r="E23" i="1"/>
  <c r="D23" i="1"/>
  <c r="C23" i="1"/>
  <c r="J82" i="1" l="1"/>
  <c r="M27" i="1"/>
  <c r="M66" i="1"/>
  <c r="M71" i="1"/>
  <c r="M67" i="1"/>
  <c r="M25" i="1"/>
  <c r="J81" i="1"/>
  <c r="M41" i="1"/>
  <c r="M45" i="1"/>
  <c r="M49" i="1"/>
  <c r="M53" i="1"/>
  <c r="M57" i="1"/>
  <c r="M61" i="1"/>
  <c r="M42" i="1"/>
  <c r="M46" i="1"/>
  <c r="M50" i="1"/>
  <c r="M54" i="1"/>
  <c r="M58" i="1"/>
  <c r="J83" i="1"/>
  <c r="J78" i="1"/>
  <c r="J79" i="1"/>
  <c r="J84" i="1"/>
  <c r="J80" i="1"/>
</calcChain>
</file>

<file path=xl/sharedStrings.xml><?xml version="1.0" encoding="utf-8"?>
<sst xmlns="http://schemas.openxmlformats.org/spreadsheetml/2006/main" count="84" uniqueCount="66">
  <si>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</si>
  <si>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</si>
  <si>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</si>
  <si>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</si>
  <si>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</si>
  <si>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командная гонка преследования 4 км</t>
  </si>
  <si>
    <t>Юниоры 17-18 лет</t>
  </si>
  <si>
    <t/>
  </si>
  <si>
    <t>МЕСТО ПРОВЕДЕНИЯ: г. Санкт-Петербург</t>
  </si>
  <si>
    <t>НАЧАЛО ГОНКИ:</t>
  </si>
  <si>
    <t>№ ВРВС: 0080391611Я</t>
  </si>
  <si>
    <t>ДАТА ПРОВЕДЕНИЯ: 08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</si>
  <si>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</si>
  <si>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</si>
  <si>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</si>
  <si>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</si>
  <si>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</si>
  <si>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</si>
  <si>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</si>
  <si>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</si>
  <si>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</si>
  <si>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</si>
  <si>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</si>
  <si>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</si>
  <si>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</si>
  <si>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</si>
  <si>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</si>
  <si>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</si>
  <si>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</si>
  <si>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</si>
  <si>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</si>
  <si>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</si>
  <si>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</si>
  <si>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</si>
  <si>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</si>
  <si>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</si>
  <si>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</si>
  <si>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</si>
  <si>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</si>
  <si>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</si>
  <si>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</si>
  <si>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</si>
  <si>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</si>
  <si>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ДОГОН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</si>
  <si>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</si>
  <si>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</si>
  <si>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</si>
  <si>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</si>
  <si>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</si>
  <si>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59 %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</si>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</sst>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.00"/>
    <numFmt numFmtId="165" formatCode="0.0"/>
    <numFmt numFmtId="166" formatCode="m:ss.00"/>
    <numFmt numFmtId="167" formatCode="m:ss.000"/>
    <numFmt numFmtId="168" formatCode="yyyy"/>
  </numFmts>
  <fonts count="24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7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7" fillId="0" borderId="0"/>
  </cellStyleXfs>
  <cellXfs count="210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14" fontId="11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14" fontId="16" fillId="0" borderId="2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66" fontId="17" fillId="0" borderId="31" xfId="0" applyNumberFormat="1" applyFont="1" applyBorder="1" applyAlignment="1">
      <alignment horizontal="center" vertical="center"/>
    </xf>
    <xf numFmtId="166" fontId="17" fillId="0" borderId="20" xfId="0" applyNumberFormat="1" applyFont="1" applyBorder="1" applyAlignment="1">
      <alignment horizontal="center" vertical="center"/>
    </xf>
    <xf numFmtId="167" fontId="18" fillId="0" borderId="31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14" fontId="16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2" fontId="20" fillId="0" borderId="36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7" fontId="19" fillId="0" borderId="3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14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66" fontId="20" fillId="0" borderId="40" xfId="0" applyNumberFormat="1" applyFont="1" applyBorder="1" applyAlignment="1">
      <alignment horizontal="center" vertical="center"/>
    </xf>
    <xf numFmtId="2" fontId="19" fillId="0" borderId="4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67" fontId="19" fillId="0" borderId="41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14" fontId="16" fillId="0" borderId="43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2" fontId="20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14" fontId="16" fillId="0" borderId="2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" fontId="20" fillId="0" borderId="49" xfId="0" applyNumberFormat="1" applyFont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53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49" fontId="11" fillId="0" borderId="35" xfId="0" applyNumberFormat="1" applyFont="1" applyBorder="1" applyAlignment="1">
      <alignment horizontal="left" vertical="center"/>
    </xf>
    <xf numFmtId="14" fontId="11" fillId="0" borderId="35" xfId="0" applyNumberFormat="1" applyFont="1" applyBorder="1" applyAlignment="1">
      <alignment vertical="center"/>
    </xf>
    <xf numFmtId="0" fontId="11" fillId="0" borderId="35" xfId="3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49" fontId="11" fillId="0" borderId="35" xfId="3" applyNumberFormat="1" applyFont="1" applyBorder="1" applyAlignment="1">
      <alignment vertical="center"/>
    </xf>
    <xf numFmtId="0" fontId="11" fillId="0" borderId="35" xfId="0" applyFont="1" applyBorder="1" applyAlignment="1">
      <alignment horizontal="right" vertical="center"/>
    </xf>
    <xf numFmtId="0" fontId="0" fillId="0" borderId="35" xfId="0" applyBorder="1"/>
    <xf numFmtId="2" fontId="11" fillId="0" borderId="35" xfId="0" applyNumberFormat="1" applyFont="1" applyBorder="1" applyAlignment="1">
      <alignment vertical="center"/>
    </xf>
    <xf numFmtId="49" fontId="11" fillId="0" borderId="35" xfId="0" applyNumberFormat="1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9" fontId="11" fillId="0" borderId="35" xfId="0" applyNumberFormat="1" applyFont="1" applyBorder="1" applyAlignment="1">
      <alignment horizontal="left" vertical="center"/>
    </xf>
    <xf numFmtId="49" fontId="11" fillId="0" borderId="35" xfId="3" applyNumberFormat="1" applyFont="1" applyBorder="1" applyAlignment="1">
      <alignment horizontal="left" vertical="center"/>
    </xf>
    <xf numFmtId="2" fontId="11" fillId="0" borderId="35" xfId="3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167" fontId="22" fillId="0" borderId="31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6" fontId="23" fillId="0" borderId="27" xfId="0" applyNumberFormat="1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 vertical="center"/>
    </xf>
    <xf numFmtId="166" fontId="23" fillId="0" borderId="40" xfId="0" applyNumberFormat="1" applyFont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23" fillId="0" borderId="34" xfId="0" applyNumberFormat="1" applyFont="1" applyBorder="1" applyAlignment="1">
      <alignment horizontal="center" vertical="center"/>
    </xf>
    <xf numFmtId="166" fontId="23" fillId="0" borderId="38" xfId="0" applyNumberFormat="1" applyFont="1" applyBorder="1" applyAlignment="1">
      <alignment horizontal="center" vertical="center"/>
    </xf>
    <xf numFmtId="167" fontId="17" fillId="0" borderId="31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28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28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352425</xdr:colOff>
      <xdr:row>5</xdr:row>
      <xdr:rowOff>200025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0</xdr:row>
      <xdr:rowOff>104775</xdr:rowOff>
    </xdr:from>
    <xdr:to>
      <xdr:col>3</xdr:col>
      <xdr:colOff>981075</xdr:colOff>
      <xdr:row>5</xdr:row>
      <xdr:rowOff>257175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04775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85</xdr:row>
      <xdr:rowOff>47625</xdr:rowOff>
    </xdr:from>
    <xdr:to>
      <xdr:col>14</xdr:col>
      <xdr:colOff>247650</xdr:colOff>
      <xdr:row>91</xdr:row>
      <xdr:rowOff>9525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4592300"/>
          <a:ext cx="1590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84</xdr:row>
      <xdr:rowOff>66675</xdr:rowOff>
    </xdr:from>
    <xdr:to>
      <xdr:col>6</xdr:col>
      <xdr:colOff>771525</xdr:colOff>
      <xdr:row>90</xdr:row>
      <xdr:rowOff>57150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4420850"/>
          <a:ext cx="1123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85</xdr:row>
      <xdr:rowOff>123825</xdr:rowOff>
    </xdr:from>
    <xdr:to>
      <xdr:col>10</xdr:col>
      <xdr:colOff>171450</xdr:colOff>
      <xdr:row>89</xdr:row>
      <xdr:rowOff>95250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466850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419100</xdr:colOff>
      <xdr:row>0</xdr:row>
      <xdr:rowOff>133350</xdr:rowOff>
    </xdr:from>
    <xdr:to>
      <xdr:col>13</xdr:col>
      <xdr:colOff>400050</xdr:colOff>
      <xdr:row>5</xdr:row>
      <xdr:rowOff>114300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омниум муж. "/>
      <sheetName val="омниум жен."/>
      <sheetName val="омниум юниоры"/>
      <sheetName val="омниум юниорки.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кв 1"/>
      <sheetName val="гонка по очкам юниоры кв 2"/>
      <sheetName val="гонка по очкам муж.  (3)"/>
      <sheetName val="гонка по очкам жен. (2)"/>
      <sheetName val="гонка по очкам юниорки. (2)"/>
      <sheetName val="список"/>
      <sheetName val="гонка по очкам юн 17-18 кв1 "/>
      <sheetName val="гонка по очкам юн 17-18 кв2"/>
      <sheetName val="гонка по очкам юниоры 19-22"/>
      <sheetName val="гонка по очкам юниорки 19-22"/>
      <sheetName val="гонка по очкам юниорки 17-18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ы спринт на 16 чел"/>
      <sheetName val="жен спринт на 16 чел (3)"/>
      <sheetName val="муж спринт на 16 чел (2)"/>
      <sheetName val="юниорки спринт итог (3)"/>
      <sheetName val="юниоры спринт итог (2)"/>
      <sheetName val="жен спринт итог (2)"/>
      <sheetName val="муж спринт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92"/>
  <sheetViews>
    <sheetView tabSelected="1" topLeftCell="A7" zoomScaleNormal="100" workbookViewId="0">
      <selection activeCell="X28" sqref="X28"/>
    </sheetView>
  </sheetViews>
  <sheetFormatPr defaultRowHeight="12.75" x14ac:dyDescent="0.2"/>
  <cols>
    <col min="1" max="1" width="4.85546875" customWidth="1"/>
    <col min="2" max="2" width="3.85546875" customWidth="1"/>
    <col min="3" max="3" width="11.85546875" customWidth="1"/>
    <col min="4" max="4" width="17.7109375" customWidth="1"/>
    <col min="5" max="5" width="10.42578125" customWidth="1"/>
    <col min="6" max="6" width="7.28515625" customWidth="1"/>
    <col min="7" max="7" width="21.85546875" customWidth="1"/>
    <col min="13" max="13" width="10.42578125" customWidth="1"/>
    <col min="14" max="14" width="9.7109375" customWidth="1"/>
    <col min="15" max="15" width="8.5703125" customWidth="1"/>
    <col min="18" max="19" width="3.85546875" customWidth="1"/>
    <col min="20" max="27" width="4.5703125" customWidth="1"/>
  </cols>
  <sheetData>
    <row r="1" spans="1:17" ht="2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6.6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7" ht="2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7" ht="6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7" ht="5.25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7" ht="24" customHeight="1" x14ac:dyDescent="0.2">
      <c r="A6" s="208" t="s">
        <v>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7" ht="19.5" customHeight="1" x14ac:dyDescent="0.2">
      <c r="A7" s="186" t="s">
        <v>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</row>
    <row r="8" spans="1:17" ht="6.6" customHeight="1" thickBo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7" ht="19.5" thickTop="1" x14ac:dyDescent="0.2">
      <c r="A9" s="188" t="s">
        <v>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Q9" s="1"/>
    </row>
    <row r="10" spans="1:17" ht="18.75" x14ac:dyDescent="0.2">
      <c r="A10" s="191" t="s">
        <v>5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3"/>
      <c r="Q10" s="1"/>
    </row>
    <row r="11" spans="1:17" ht="18.75" x14ac:dyDescent="0.2">
      <c r="A11" s="194" t="s">
        <v>6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Q11" s="1"/>
    </row>
    <row r="12" spans="1:17" ht="8.25" customHeight="1" x14ac:dyDescent="0.2">
      <c r="A12" s="197" t="s">
        <v>7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Q12" s="1"/>
    </row>
    <row r="13" spans="1:17" ht="15.75" x14ac:dyDescent="0.2">
      <c r="A13" s="200" t="s">
        <v>8</v>
      </c>
      <c r="B13" s="201"/>
      <c r="C13" s="201"/>
      <c r="D13" s="201"/>
      <c r="E13" s="2"/>
      <c r="F13" s="3"/>
      <c r="G13" s="4" t="s">
        <v>9</v>
      </c>
      <c r="H13" s="5"/>
      <c r="I13" s="5"/>
      <c r="J13" s="5"/>
      <c r="K13" s="5"/>
      <c r="L13" s="5"/>
      <c r="M13" s="6"/>
      <c r="N13" s="7"/>
      <c r="O13" s="8" t="s">
        <v>10</v>
      </c>
      <c r="Q13" s="1"/>
    </row>
    <row r="14" spans="1:17" ht="15.75" x14ac:dyDescent="0.2">
      <c r="A14" s="202" t="s">
        <v>11</v>
      </c>
      <c r="B14" s="203"/>
      <c r="C14" s="203"/>
      <c r="D14" s="203"/>
      <c r="E14" s="9"/>
      <c r="F14" s="10"/>
      <c r="G14" s="11" t="s">
        <v>12</v>
      </c>
      <c r="H14" s="12"/>
      <c r="I14" s="12"/>
      <c r="J14" s="12"/>
      <c r="K14" s="12"/>
      <c r="L14" s="12"/>
      <c r="M14" s="13"/>
      <c r="N14" s="14"/>
      <c r="O14" s="15" t="s">
        <v>13</v>
      </c>
    </row>
    <row r="15" spans="1:17" ht="15" x14ac:dyDescent="0.2">
      <c r="A15" s="165" t="s">
        <v>14</v>
      </c>
      <c r="B15" s="166"/>
      <c r="C15" s="166"/>
      <c r="D15" s="166"/>
      <c r="E15" s="166"/>
      <c r="F15" s="166"/>
      <c r="G15" s="204"/>
      <c r="H15" s="205" t="s">
        <v>15</v>
      </c>
      <c r="I15" s="206"/>
      <c r="J15" s="206"/>
      <c r="K15" s="206"/>
      <c r="L15" s="206"/>
      <c r="M15" s="206"/>
      <c r="N15" s="206"/>
      <c r="O15" s="207"/>
      <c r="Q15" s="16"/>
    </row>
    <row r="16" spans="1:17" ht="15" x14ac:dyDescent="0.2">
      <c r="A16" s="17"/>
      <c r="B16" s="19"/>
      <c r="C16" s="19"/>
      <c r="D16" s="18"/>
      <c r="E16" s="20" t="s">
        <v>7</v>
      </c>
      <c r="F16" s="18"/>
      <c r="G16" s="20"/>
      <c r="H16" s="168" t="s">
        <v>16</v>
      </c>
      <c r="I16" s="169"/>
      <c r="J16" s="169"/>
      <c r="K16" s="169"/>
      <c r="L16" s="169"/>
      <c r="M16" s="169"/>
      <c r="N16" s="169"/>
      <c r="O16" s="170"/>
      <c r="Q16" s="16"/>
    </row>
    <row r="17" spans="1:17" ht="15" x14ac:dyDescent="0.2">
      <c r="A17" s="17" t="s">
        <v>17</v>
      </c>
      <c r="B17" s="19"/>
      <c r="C17" s="19"/>
      <c r="D17" s="20"/>
      <c r="E17" s="21"/>
      <c r="F17" s="18"/>
      <c r="G17" s="22" t="s">
        <v>18</v>
      </c>
      <c r="H17" s="168" t="s">
        <v>19</v>
      </c>
      <c r="I17" s="169"/>
      <c r="J17" s="169"/>
      <c r="K17" s="169"/>
      <c r="L17" s="169"/>
      <c r="M17" s="169"/>
      <c r="N17" s="169"/>
      <c r="O17" s="170"/>
      <c r="Q17" s="16"/>
    </row>
    <row r="18" spans="1:17" ht="15" x14ac:dyDescent="0.2">
      <c r="A18" s="17" t="s">
        <v>20</v>
      </c>
      <c r="B18" s="19"/>
      <c r="C18" s="19"/>
      <c r="D18" s="20"/>
      <c r="E18" s="21"/>
      <c r="F18" s="18"/>
      <c r="G18" s="22" t="s">
        <v>21</v>
      </c>
      <c r="H18" s="168" t="s">
        <v>22</v>
      </c>
      <c r="I18" s="169"/>
      <c r="J18" s="169"/>
      <c r="K18" s="169"/>
      <c r="L18" s="169"/>
      <c r="M18" s="169"/>
      <c r="N18" s="169"/>
      <c r="O18" s="170"/>
      <c r="Q18" s="16"/>
    </row>
    <row r="19" spans="1:17" ht="16.5" thickBot="1" x14ac:dyDescent="0.25">
      <c r="A19" s="17" t="s">
        <v>23</v>
      </c>
      <c r="B19" s="23"/>
      <c r="C19" s="23"/>
      <c r="D19" s="24"/>
      <c r="E19" s="25"/>
      <c r="F19" s="24"/>
      <c r="G19" s="22" t="s">
        <v>24</v>
      </c>
      <c r="H19" s="26" t="s">
        <v>25</v>
      </c>
      <c r="I19" s="27"/>
      <c r="J19" s="27"/>
      <c r="K19" s="27"/>
      <c r="L19" s="27"/>
      <c r="M19" s="28">
        <v>4</v>
      </c>
      <c r="O19" s="29" t="s">
        <v>26</v>
      </c>
      <c r="Q19" s="16"/>
    </row>
    <row r="20" spans="1:17" ht="6" customHeight="1" thickTop="1" thickBot="1" x14ac:dyDescent="0.25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</row>
    <row r="21" spans="1:17" x14ac:dyDescent="0.2">
      <c r="A21" s="171" t="s">
        <v>27</v>
      </c>
      <c r="B21" s="173" t="s">
        <v>28</v>
      </c>
      <c r="C21" s="173" t="s">
        <v>29</v>
      </c>
      <c r="D21" s="173" t="s">
        <v>30</v>
      </c>
      <c r="E21" s="175" t="s">
        <v>31</v>
      </c>
      <c r="F21" s="173" t="s">
        <v>32</v>
      </c>
      <c r="G21" s="173" t="s">
        <v>33</v>
      </c>
      <c r="H21" s="177" t="s">
        <v>34</v>
      </c>
      <c r="I21" s="178"/>
      <c r="J21" s="178"/>
      <c r="K21" s="179"/>
      <c r="L21" s="180" t="s">
        <v>35</v>
      </c>
      <c r="M21" s="182" t="s">
        <v>36</v>
      </c>
      <c r="N21" s="184" t="s">
        <v>37</v>
      </c>
      <c r="O21" s="154" t="s">
        <v>38</v>
      </c>
      <c r="Q21" s="16"/>
    </row>
    <row r="22" spans="1:17" ht="13.5" thickBot="1" x14ac:dyDescent="0.25">
      <c r="A22" s="172"/>
      <c r="B22" s="174"/>
      <c r="C22" s="174"/>
      <c r="D22" s="174"/>
      <c r="E22" s="176"/>
      <c r="F22" s="174"/>
      <c r="G22" s="174"/>
      <c r="H22" s="35" t="s">
        <v>39</v>
      </c>
      <c r="I22" s="35" t="s">
        <v>40</v>
      </c>
      <c r="J22" s="35" t="s">
        <v>41</v>
      </c>
      <c r="K22" s="35" t="s">
        <v>42</v>
      </c>
      <c r="L22" s="181"/>
      <c r="M22" s="183"/>
      <c r="N22" s="185"/>
      <c r="O22" s="155"/>
      <c r="Q22" s="16"/>
    </row>
    <row r="23" spans="1:17" ht="13.5" customHeight="1" x14ac:dyDescent="0.2">
      <c r="A23" s="36">
        <v>1</v>
      </c>
      <c r="B23" s="37">
        <v>11</v>
      </c>
      <c r="C23" s="38">
        <f>IF(ISBLANK($B23),"",VLOOKUP($B23,[1]список!$B$1:$G$544,2,0))</f>
        <v>10090936672</v>
      </c>
      <c r="D23" s="38" t="str">
        <f>IF(ISBLANK($B23),"",VLOOKUP($B23,[1]список!$B$1:$G$544,3,0))</f>
        <v>Савекин Илья</v>
      </c>
      <c r="E23" s="39">
        <f>IF(ISBLANK($B23),"",VLOOKUP($B23,[1]список!$B$1:$G$544,4,0))</f>
        <v>38489</v>
      </c>
      <c r="F23" s="39" t="str">
        <f>IF(ISBLANK($B23),"",VLOOKUP($B23,[1]список!$B$1:$H$544,5,0))</f>
        <v>МС</v>
      </c>
      <c r="G23" s="40" t="str">
        <f>IF(ISBLANK($B23),"",VLOOKUP($B23,[1]список!$B$1:$H$544,6,0))</f>
        <v>Санкт-Петербург</v>
      </c>
      <c r="H23" s="41">
        <v>7.3454861111111106E-4</v>
      </c>
      <c r="I23" s="42">
        <f>I24-H23</f>
        <v>6.553935185185188E-4</v>
      </c>
      <c r="J23" s="42">
        <f>J24-I24</f>
        <v>6.7747685185185142E-4</v>
      </c>
      <c r="K23" s="42">
        <f>L23-J24</f>
        <v>6.8993055555555604E-4</v>
      </c>
      <c r="L23" s="43">
        <v>2.7573495370370373E-3</v>
      </c>
      <c r="M23" s="44">
        <f>$M$19/((L23*24))</f>
        <v>60.444519067307482</v>
      </c>
      <c r="N23" s="45" t="str">
        <f>IF(L23&lt;=TIMEVALUE("3:56,000"),"МСМК",IF(L23&lt;=TIMEVALUE("4:04,000"),"МС",IF(L23&lt;=TIMEVALUE("4:17,000"),"КМС",IF(L23&lt;=TIMEVALUE("4:27,000"),"1 СР",IF(L23&lt;=TIMEVALUE("4:37,000"),"2 СР",IF(L23&lt;=TIMEVALUE("4:47,000"),"3 СР",IF(L23&lt;=TIMEVALUE("4:57,000"),"1 сп.юн.р.")))))))</f>
        <v>МС</v>
      </c>
      <c r="O23" s="46"/>
      <c r="Q23" s="16"/>
    </row>
    <row r="24" spans="1:17" ht="13.5" customHeight="1" x14ac:dyDescent="0.2">
      <c r="A24" s="47">
        <v>1</v>
      </c>
      <c r="B24" s="48">
        <v>15</v>
      </c>
      <c r="C24" s="49">
        <f>IF(ISBLANK($B24),"",VLOOKUP($B24,[1]список!$B$1:$G$544,2,0))</f>
        <v>10079259993</v>
      </c>
      <c r="D24" s="49" t="str">
        <f>IF(ISBLANK($B24),"",VLOOKUP($B24,[1]список!$B$1:$G$544,3,0))</f>
        <v>Гончаров Владимир</v>
      </c>
      <c r="E24" s="50">
        <f>IF(ISBLANK($B24),"",VLOOKUP($B24,[1]список!$B$1:$G$544,4,0))</f>
        <v>38576</v>
      </c>
      <c r="F24" s="50" t="str">
        <f>IF(ISBLANK($B24),"",VLOOKUP($B24,[1]список!$B$1:$H$544,5,0))</f>
        <v>МС</v>
      </c>
      <c r="G24" s="51" t="str">
        <f>IF(ISBLANK($B24),"",VLOOKUP($B24,[1]список!$B$1:$H$544,6,0))</f>
        <v>Санкт-Петербург</v>
      </c>
      <c r="H24" s="52"/>
      <c r="I24" s="53">
        <v>1.3899421296296299E-3</v>
      </c>
      <c r="J24" s="53">
        <v>2.0674189814814813E-3</v>
      </c>
      <c r="K24" s="52"/>
      <c r="L24" s="52"/>
      <c r="M24" s="54">
        <f>M23</f>
        <v>60.444519067307482</v>
      </c>
      <c r="N24" s="55"/>
      <c r="O24" s="56"/>
      <c r="Q24" s="16"/>
    </row>
    <row r="25" spans="1:17" ht="13.5" customHeight="1" x14ac:dyDescent="0.2">
      <c r="A25" s="47">
        <v>1</v>
      </c>
      <c r="B25" s="57">
        <v>14</v>
      </c>
      <c r="C25" s="49">
        <f>IF(ISBLANK($B25),"",VLOOKUP($B25,[1]список!$B$1:$G$544,2,0))</f>
        <v>10097338672</v>
      </c>
      <c r="D25" s="49" t="str">
        <f>IF(ISBLANK($B25),"",VLOOKUP($B25,[1]список!$B$1:$G$544,3,0))</f>
        <v>Казаков Даниил</v>
      </c>
      <c r="E25" s="50">
        <f>IF(ISBLANK($B25),"",VLOOKUP($B25,[1]список!$B$1:$G$544,4,0))</f>
        <v>38360</v>
      </c>
      <c r="F25" s="50" t="str">
        <f>IF(ISBLANK($B25),"",VLOOKUP($B25,[1]список!$B$1:$H$544,5,0))</f>
        <v>КМС</v>
      </c>
      <c r="G25" s="51" t="str">
        <f>IF(ISBLANK($B25),"",VLOOKUP($B25,[1]список!$B$1:$H$544,6,0))</f>
        <v>Санкт-Петербург</v>
      </c>
      <c r="H25" s="52"/>
      <c r="I25" s="52"/>
      <c r="J25" s="52"/>
      <c r="K25" s="52"/>
      <c r="L25" s="52"/>
      <c r="M25" s="58">
        <f>M23</f>
        <v>60.444519067307482</v>
      </c>
      <c r="N25" s="59"/>
      <c r="O25" s="56"/>
      <c r="Q25" s="16"/>
    </row>
    <row r="26" spans="1:17" ht="13.5" customHeight="1" x14ac:dyDescent="0.2">
      <c r="A26" s="47"/>
      <c r="B26" s="152">
        <v>12</v>
      </c>
      <c r="C26" s="49">
        <f>IF(ISBLANK($B26),"",VLOOKUP($B26,[1]список!$B$1:$G$544,2,0))</f>
        <v>10097338571</v>
      </c>
      <c r="D26" s="49" t="str">
        <f>IF(ISBLANK($B26),"",VLOOKUP($B26,[1]список!$B$1:$G$544,3,0))</f>
        <v>Кузнецов Руслан</v>
      </c>
      <c r="E26" s="50">
        <f>IF(ISBLANK($B26),"",VLOOKUP($B26,[1]список!$B$1:$G$544,4,0))</f>
        <v>38425</v>
      </c>
      <c r="F26" s="50" t="str">
        <f>IF(ISBLANK($B26),"",VLOOKUP($B26,[1]список!$B$1:$H$544,5,0))</f>
        <v>КМС</v>
      </c>
      <c r="G26" s="51" t="str">
        <f>IF(ISBLANK($B26),"",VLOOKUP($B26,[1]список!$B$1:$H$544,6,0))</f>
        <v>Санкт-Петербург</v>
      </c>
      <c r="H26" s="52"/>
      <c r="I26" s="52"/>
      <c r="J26" s="52"/>
      <c r="K26" s="52"/>
      <c r="L26" s="52"/>
      <c r="M26" s="58"/>
      <c r="N26" s="153"/>
      <c r="O26" s="56"/>
      <c r="Q26" s="16"/>
    </row>
    <row r="27" spans="1:17" ht="13.5" customHeight="1" thickBot="1" x14ac:dyDescent="0.25">
      <c r="A27" s="60">
        <v>1</v>
      </c>
      <c r="B27" s="61">
        <v>16</v>
      </c>
      <c r="C27" s="62">
        <f>IF(ISBLANK($B27),"",VLOOKUP($B27,[1]список!$B$1:$G$544,2,0))</f>
        <v>10092621745</v>
      </c>
      <c r="D27" s="62" t="str">
        <f>IF(ISBLANK($B27),"",VLOOKUP($B27,[1]список!$B$1:$G$544,3,0))</f>
        <v>Токарев Матвей</v>
      </c>
      <c r="E27" s="63">
        <f>IF(ISBLANK($B27),"",VLOOKUP($B27,[1]список!$B$1:$G$544,4,0))</f>
        <v>38828</v>
      </c>
      <c r="F27" s="63" t="str">
        <f>IF(ISBLANK($B27),"",VLOOKUP($B27,[1]список!$B$1:$H$544,5,0))</f>
        <v>КМС</v>
      </c>
      <c r="G27" s="64" t="str">
        <f>IF(ISBLANK($B27),"",VLOOKUP($B27,[1]список!$B$1:$H$544,6,0))</f>
        <v>Санкт-Петербург</v>
      </c>
      <c r="H27" s="65"/>
      <c r="I27" s="65"/>
      <c r="J27" s="65"/>
      <c r="K27" s="65"/>
      <c r="L27" s="65"/>
      <c r="M27" s="66">
        <f>M23</f>
        <v>60.444519067307482</v>
      </c>
      <c r="N27" s="67"/>
      <c r="O27" s="68"/>
      <c r="Q27" s="16"/>
    </row>
    <row r="28" spans="1:17" ht="13.5" customHeight="1" thickBot="1" x14ac:dyDescent="0.25">
      <c r="A28" s="69">
        <v>2</v>
      </c>
      <c r="B28" s="70">
        <v>73</v>
      </c>
      <c r="C28" s="71">
        <f>IF(ISBLANK($B28),"",VLOOKUP($B28,[1]список!$B$1:$G$544,2,0))</f>
        <v>10100958893</v>
      </c>
      <c r="D28" s="71" t="str">
        <f>IF(ISBLANK($B28),"",VLOOKUP($B28,[1]список!$B$1:$G$544,3,0))</f>
        <v>Беликов Никита</v>
      </c>
      <c r="E28" s="72">
        <f>IF(ISBLANK($B28),"",VLOOKUP($B28,[1]список!$B$1:$G$544,4,0))</f>
        <v>38488</v>
      </c>
      <c r="F28" s="72" t="str">
        <f>IF(ISBLANK($B28),"",VLOOKUP($B28,[1]список!$B$1:$H$544,5,0))</f>
        <v>КМС</v>
      </c>
      <c r="G28" s="40" t="s">
        <v>65</v>
      </c>
      <c r="H28" s="74">
        <v>7.7552083333333325E-4</v>
      </c>
      <c r="I28" s="53">
        <f>I29-H28</f>
        <v>6.8438657407407391E-4</v>
      </c>
      <c r="J28" s="53">
        <f>J29-I29</f>
        <v>7.1017361111111151E-4</v>
      </c>
      <c r="K28" s="53">
        <f>L28-J29</f>
        <v>6.8276620370370366E-4</v>
      </c>
      <c r="L28" s="75">
        <v>2.8528472222222223E-3</v>
      </c>
      <c r="M28" s="76">
        <f>$M$19/((L28*24))</f>
        <v>58.421167936515658</v>
      </c>
      <c r="N28" s="77" t="str">
        <f>IF(L28&lt;=TIMEVALUE("3:56,000"),"МСМК",IF(L28&lt;=TIMEVALUE("4:04,000"),"МС",IF(L28&lt;=TIMEVALUE("4:17,000"),"КМС",IF(L28&lt;=TIMEVALUE("4:27,000"),"1 СР",IF(L28&lt;=TIMEVALUE("4:37,000"),"2 СР",IF(L28&lt;=TIMEVALUE("4:47,000"),"3 СР",IF(L28&lt;=TIMEVALUE("4:57,000"),"1 сп.юн.р.")))))))</f>
        <v>КМС</v>
      </c>
      <c r="O28" s="78"/>
      <c r="Q28" s="16"/>
    </row>
    <row r="29" spans="1:17" ht="13.5" customHeight="1" thickBot="1" x14ac:dyDescent="0.25">
      <c r="A29" s="47">
        <v>2</v>
      </c>
      <c r="B29" s="70">
        <v>75</v>
      </c>
      <c r="C29" s="49">
        <f>IF(ISBLANK($B29),"",VLOOKUP($B29,[1]список!$B$1:$G$544,2,0))</f>
        <v>10080977301</v>
      </c>
      <c r="D29" s="49" t="str">
        <f>IF(ISBLANK($B29),"",VLOOKUP($B29,[1]список!$B$1:$G$544,3,0))</f>
        <v>Лунин Михаил</v>
      </c>
      <c r="E29" s="50">
        <f>IF(ISBLANK($B29),"",VLOOKUP($B29,[1]список!$B$1:$G$544,4,0))</f>
        <v>38622</v>
      </c>
      <c r="F29" s="50" t="str">
        <f>IF(ISBLANK($B29),"",VLOOKUP($B29,[1]список!$B$1:$H$544,5,0))</f>
        <v>КМС</v>
      </c>
      <c r="G29" s="40" t="s">
        <v>65</v>
      </c>
      <c r="H29" s="52"/>
      <c r="I29" s="53">
        <v>1.4599074074074072E-3</v>
      </c>
      <c r="J29" s="53">
        <v>2.1700810185185187E-3</v>
      </c>
      <c r="K29" s="52"/>
      <c r="L29" s="52"/>
      <c r="M29" s="54">
        <f>M28</f>
        <v>58.421167936515658</v>
      </c>
      <c r="N29" s="55"/>
      <c r="O29" s="56"/>
      <c r="Q29" s="16"/>
    </row>
    <row r="30" spans="1:17" ht="13.5" customHeight="1" thickBot="1" x14ac:dyDescent="0.25">
      <c r="A30" s="47">
        <v>2</v>
      </c>
      <c r="B30" s="70">
        <v>76</v>
      </c>
      <c r="C30" s="49">
        <f>IF(ISBLANK($B30),"",VLOOKUP($B30,[1]список!$B$1:$G$544,2,0))</f>
        <v>10083179100</v>
      </c>
      <c r="D30" s="49" t="str">
        <f>IF(ISBLANK($B30),"",VLOOKUP($B30,[1]список!$B$1:$G$544,3,0))</f>
        <v>Мишанков Максим</v>
      </c>
      <c r="E30" s="50">
        <f>IF(ISBLANK($B30),"",VLOOKUP($B30,[1]список!$B$1:$G$544,4,0))</f>
        <v>38534</v>
      </c>
      <c r="F30" s="50" t="str">
        <f>IF(ISBLANK($B30),"",VLOOKUP($B30,[1]список!$B$1:$H$544,5,0))</f>
        <v>МС</v>
      </c>
      <c r="G30" s="40" t="s">
        <v>65</v>
      </c>
      <c r="H30" s="52"/>
      <c r="I30" s="52"/>
      <c r="J30" s="52"/>
      <c r="K30" s="52"/>
      <c r="L30" s="52"/>
      <c r="M30" s="54">
        <f>M28</f>
        <v>58.421167936515658</v>
      </c>
      <c r="N30" s="55"/>
      <c r="O30" s="56"/>
    </row>
    <row r="31" spans="1:17" ht="13.5" customHeight="1" thickBot="1" x14ac:dyDescent="0.25">
      <c r="A31" s="47">
        <v>2</v>
      </c>
      <c r="B31" s="70">
        <v>80</v>
      </c>
      <c r="C31" s="62">
        <f>IF(ISBLANK($B31),"",VLOOKUP($B31,[1]список!$B$1:$G$544,2,0))</f>
        <v>10080358622</v>
      </c>
      <c r="D31" s="62" t="str">
        <f>IF(ISBLANK($B31),"",VLOOKUP($B31,[1]список!$B$1:$G$544,3,0))</f>
        <v>Ужевко Роман</v>
      </c>
      <c r="E31" s="63">
        <f>IF(ISBLANK($B31),"",VLOOKUP($B31,[1]список!$B$1:$G$544,4,0))</f>
        <v>38421</v>
      </c>
      <c r="F31" s="63" t="str">
        <f>IF(ISBLANK($B31),"",VLOOKUP($B31,[1]список!$B$1:$H$544,5,0))</f>
        <v>МС</v>
      </c>
      <c r="G31" s="40" t="s">
        <v>65</v>
      </c>
      <c r="H31" s="65"/>
      <c r="I31" s="65"/>
      <c r="J31" s="65"/>
      <c r="K31" s="65"/>
      <c r="L31" s="65"/>
      <c r="M31" s="79">
        <f>M28</f>
        <v>58.421167936515658</v>
      </c>
      <c r="N31" s="80"/>
      <c r="O31" s="68"/>
      <c r="Q31" s="1"/>
    </row>
    <row r="32" spans="1:17" ht="13.5" customHeight="1" x14ac:dyDescent="0.2">
      <c r="A32" s="36">
        <v>3</v>
      </c>
      <c r="B32" s="81">
        <v>27</v>
      </c>
      <c r="C32" s="38">
        <f>IF(ISBLANK($B32),"",VLOOKUP($B32,[1]список!$B$1:$G$544,2,0))</f>
        <v>10137271653</v>
      </c>
      <c r="D32" s="38" t="str">
        <f>IF(ISBLANK($B32),"",VLOOKUP($B32,[1]список!$B$1:$G$544,3,0))</f>
        <v>Яковлев Матвей</v>
      </c>
      <c r="E32" s="39">
        <f>IF(ISBLANK($B32),"",VLOOKUP($B32,[1]список!$B$1:$G$544,4,0))</f>
        <v>39469</v>
      </c>
      <c r="F32" s="39" t="str">
        <f>IF(ISBLANK($B32),"",VLOOKUP($B32,[1]список!$B$1:$H$544,5,0))</f>
        <v>КМС</v>
      </c>
      <c r="G32" s="40" t="str">
        <f>IF(ISBLANK($B32),"",VLOOKUP($B32,[1]список!$B$1:$H$544,6,0))</f>
        <v>Санкт-Петербург</v>
      </c>
      <c r="H32" s="41">
        <v>7.6395833333333339E-4</v>
      </c>
      <c r="I32" s="42">
        <f>I33-H32</f>
        <v>7.0094907407407378E-4</v>
      </c>
      <c r="J32" s="42">
        <f>J33-I33</f>
        <v>7.1259259259259301E-4</v>
      </c>
      <c r="K32" s="42"/>
      <c r="L32" s="43"/>
      <c r="M32" s="44"/>
      <c r="N32" s="43"/>
      <c r="O32" s="151" t="s">
        <v>43</v>
      </c>
      <c r="Q32" s="1"/>
    </row>
    <row r="33" spans="1:17" ht="13.5" customHeight="1" x14ac:dyDescent="0.2">
      <c r="A33" s="47">
        <v>3</v>
      </c>
      <c r="B33" s="82">
        <v>22</v>
      </c>
      <c r="C33" s="49">
        <f>IF(ISBLANK($B33),"",VLOOKUP($B33,[1]список!$B$1:$G$544,2,0))</f>
        <v>10120261186</v>
      </c>
      <c r="D33" s="49" t="str">
        <f>IF(ISBLANK($B33),"",VLOOKUP($B33,[1]список!$B$1:$G$544,3,0))</f>
        <v>Гречишкин Вадим</v>
      </c>
      <c r="E33" s="50">
        <f>IF(ISBLANK($B33),"",VLOOKUP($B33,[1]список!$B$1:$G$544,4,0))</f>
        <v>39274</v>
      </c>
      <c r="F33" s="50" t="str">
        <f>IF(ISBLANK($B33),"",VLOOKUP($B33,[1]список!$B$1:$H$544,5,0))</f>
        <v>КМС</v>
      </c>
      <c r="G33" s="51" t="str">
        <f>IF(ISBLANK($B33),"",VLOOKUP($B33,[1]список!$B$1:$H$544,6,0))</f>
        <v>Санкт-Петербург</v>
      </c>
      <c r="H33" s="52"/>
      <c r="I33" s="53">
        <v>1.4649074074074072E-3</v>
      </c>
      <c r="J33" s="53">
        <v>2.1775000000000002E-3</v>
      </c>
      <c r="K33" s="52"/>
      <c r="L33" s="52"/>
      <c r="M33" s="54"/>
      <c r="N33" s="55"/>
      <c r="O33" s="55"/>
      <c r="Q33" s="1"/>
    </row>
    <row r="34" spans="1:17" ht="13.5" customHeight="1" x14ac:dyDescent="0.2">
      <c r="A34" s="47">
        <v>3</v>
      </c>
      <c r="B34" s="82">
        <v>24</v>
      </c>
      <c r="C34" s="49">
        <f>IF(ISBLANK($B34),"",VLOOKUP($B34,[1]список!$B$1:$G$544,2,0))</f>
        <v>10125311957</v>
      </c>
      <c r="D34" s="49" t="str">
        <f>IF(ISBLANK($B34),"",VLOOKUP($B34,[1]список!$B$1:$G$544,3,0))</f>
        <v>Свиловский Данил</v>
      </c>
      <c r="E34" s="50">
        <f>IF(ISBLANK($B34),"",VLOOKUP($B34,[1]список!$B$1:$G$544,4,0))</f>
        <v>39525</v>
      </c>
      <c r="F34" s="50" t="str">
        <f>IF(ISBLANK($B34),"",VLOOKUP($B34,[1]список!$B$1:$H$544,5,0))</f>
        <v>КМС</v>
      </c>
      <c r="G34" s="51" t="str">
        <f>IF(ISBLANK($B34),"",VLOOKUP($B34,[1]список!$B$1:$H$544,6,0))</f>
        <v>Санкт-Петербург</v>
      </c>
      <c r="H34" s="52"/>
      <c r="I34" s="52"/>
      <c r="J34" s="52"/>
      <c r="K34" s="52"/>
      <c r="L34" s="52"/>
      <c r="M34" s="54"/>
      <c r="N34" s="55"/>
      <c r="O34" s="55"/>
      <c r="Q34" s="16"/>
    </row>
    <row r="35" spans="1:17" ht="13.5" customHeight="1" thickBot="1" x14ac:dyDescent="0.25">
      <c r="A35" s="60">
        <v>3</v>
      </c>
      <c r="B35" s="83">
        <v>17</v>
      </c>
      <c r="C35" s="62">
        <f>IF(ISBLANK($B35),"",VLOOKUP($B35,[1]список!$B$1:$G$544,2,0))</f>
        <v>10120261287</v>
      </c>
      <c r="D35" s="62" t="str">
        <f>IF(ISBLANK($B35),"",VLOOKUP($B35,[1]список!$B$1:$G$544,3,0))</f>
        <v>Просандеев Ярослав</v>
      </c>
      <c r="E35" s="63">
        <f>IF(ISBLANK($B35),"",VLOOKUP($B35,[1]список!$B$1:$G$544,4,0))</f>
        <v>39151</v>
      </c>
      <c r="F35" s="63" t="str">
        <f>IF(ISBLANK($B35),"",VLOOKUP($B35,[1]список!$B$1:$H$544,5,0))</f>
        <v>КМС</v>
      </c>
      <c r="G35" s="64" t="str">
        <f>IF(ISBLANK($B35),"",VLOOKUP($B35,[1]список!$B$1:$H$544,6,0))</f>
        <v>Санкт-Петербург</v>
      </c>
      <c r="H35" s="65"/>
      <c r="I35" s="65"/>
      <c r="J35" s="65"/>
      <c r="K35" s="65"/>
      <c r="L35" s="65"/>
      <c r="M35" s="79"/>
      <c r="N35" s="80"/>
      <c r="O35" s="80"/>
      <c r="Q35" s="1"/>
    </row>
    <row r="36" spans="1:17" ht="13.5" customHeight="1" x14ac:dyDescent="0.2">
      <c r="A36" s="69">
        <v>4</v>
      </c>
      <c r="B36" s="84">
        <v>153</v>
      </c>
      <c r="C36" s="38">
        <f>IF(ISBLANK($B36),"",VLOOKUP($B36,[1]список!$B$1:$G$544,2,0))</f>
        <v>10090423686</v>
      </c>
      <c r="D36" s="38" t="str">
        <f>IF(ISBLANK($B36),"",VLOOKUP($B36,[1]список!$B$1:$G$544,3,0))</f>
        <v>Шешенин Андрей</v>
      </c>
      <c r="E36" s="39">
        <f>IF(ISBLANK($B36),"",VLOOKUP($B36,[1]список!$B$1:$G$544,4,0))</f>
        <v>38945</v>
      </c>
      <c r="F36" s="39" t="str">
        <f>IF(ISBLANK($B36),"",VLOOKUP($B36,[1]список!$B$1:$H$544,5,0))</f>
        <v>1 СР</v>
      </c>
      <c r="G36" s="40" t="str">
        <f>IF(ISBLANK($B36),"",VLOOKUP($B36,[1]список!$B$1:$H$544,6,0))</f>
        <v>Москва</v>
      </c>
      <c r="H36" s="41">
        <v>7.6589120370370385E-4</v>
      </c>
      <c r="I36" s="42">
        <f>I37-H36</f>
        <v>6.9248842592592593E-4</v>
      </c>
      <c r="J36" s="42">
        <f>J37-I37</f>
        <v>7.367708333333332E-4</v>
      </c>
      <c r="K36" s="42"/>
      <c r="L36" s="43"/>
      <c r="M36" s="44"/>
      <c r="N36" s="43"/>
      <c r="O36" s="151" t="s">
        <v>43</v>
      </c>
    </row>
    <row r="37" spans="1:17" ht="13.5" customHeight="1" x14ac:dyDescent="0.2">
      <c r="A37" s="47">
        <v>4</v>
      </c>
      <c r="B37" s="70">
        <v>171</v>
      </c>
      <c r="C37" s="49">
        <f>IF(ISBLANK($B37),"",VLOOKUP($B37,[1]список!$B$1:$G$544,2,0))</f>
        <v>10097338167</v>
      </c>
      <c r="D37" s="49" t="str">
        <f>IF(ISBLANK($B37),"",VLOOKUP($B37,[1]список!$B$1:$G$544,3,0))</f>
        <v>Хлупов Дмитрий</v>
      </c>
      <c r="E37" s="50">
        <f>IF(ISBLANK($B37),"",VLOOKUP($B37,[1]список!$B$1:$G$544,4,0))</f>
        <v>38553</v>
      </c>
      <c r="F37" s="50" t="str">
        <f>IF(ISBLANK($B37),"",VLOOKUP($B37,[1]список!$B$1:$H$544,5,0))</f>
        <v>МС</v>
      </c>
      <c r="G37" s="51" t="str">
        <f>IF(ISBLANK($B37),"",VLOOKUP($B37,[1]список!$B$1:$H$544,6,0))</f>
        <v>Москва</v>
      </c>
      <c r="H37" s="52"/>
      <c r="I37" s="53">
        <v>1.4583796296296298E-3</v>
      </c>
      <c r="J37" s="53">
        <v>2.195150462962963E-3</v>
      </c>
      <c r="K37" s="52"/>
      <c r="L37" s="52"/>
      <c r="M37" s="54"/>
      <c r="N37" s="55"/>
      <c r="O37" s="55"/>
      <c r="Q37" s="16"/>
    </row>
    <row r="38" spans="1:17" ht="13.5" customHeight="1" x14ac:dyDescent="0.2">
      <c r="A38" s="47">
        <v>4</v>
      </c>
      <c r="B38" s="70">
        <v>173</v>
      </c>
      <c r="C38" s="49">
        <f>IF(ISBLANK($B38),"",VLOOKUP($B38,[1]список!$B$1:$G$544,2,0))</f>
        <v>10100513000</v>
      </c>
      <c r="D38" s="49" t="str">
        <f>IF(ISBLANK($B38),"",VLOOKUP($B38,[1]список!$B$1:$G$544,3,0))</f>
        <v>Бортников Георгий</v>
      </c>
      <c r="E38" s="50">
        <f>IF(ISBLANK($B38),"",VLOOKUP($B38,[1]список!$B$1:$G$544,4,0))</f>
        <v>38493</v>
      </c>
      <c r="F38" s="50" t="str">
        <f>IF(ISBLANK($B38),"",VLOOKUP($B38,[1]список!$B$1:$H$544,5,0))</f>
        <v>КМС</v>
      </c>
      <c r="G38" s="51" t="str">
        <f>IF(ISBLANK($B38),"",VLOOKUP($B38,[1]список!$B$1:$H$544,6,0))</f>
        <v>Москва</v>
      </c>
      <c r="H38" s="52"/>
      <c r="I38" s="52"/>
      <c r="J38" s="52"/>
      <c r="K38" s="52"/>
      <c r="L38" s="52"/>
      <c r="M38" s="54"/>
      <c r="N38" s="55"/>
      <c r="O38" s="56"/>
      <c r="Q38" s="16"/>
    </row>
    <row r="39" spans="1:17" ht="13.5" customHeight="1" thickBot="1" x14ac:dyDescent="0.25">
      <c r="A39" s="47">
        <v>4</v>
      </c>
      <c r="B39" s="83">
        <v>175</v>
      </c>
      <c r="C39" s="62">
        <f>IF(ISBLANK($B39),"",VLOOKUP($B39,[1]список!$B$1:$G$544,2,0))</f>
        <v>10090936268</v>
      </c>
      <c r="D39" s="62" t="str">
        <f>IF(ISBLANK($B39),"",VLOOKUP($B39,[1]список!$B$1:$G$544,3,0))</f>
        <v>Чернов Денис</v>
      </c>
      <c r="E39" s="63">
        <f>IF(ISBLANK($B39),"",VLOOKUP($B39,[1]список!$B$1:$G$544,4,0))</f>
        <v>38450</v>
      </c>
      <c r="F39" s="63" t="str">
        <f>IF(ISBLANK($B39),"",VLOOKUP($B39,[1]список!$B$1:$H$544,5,0))</f>
        <v>КМС</v>
      </c>
      <c r="G39" s="64" t="str">
        <f>IF(ISBLANK($B39),"",VLOOKUP($B39,[1]список!$B$1:$H$544,6,0))</f>
        <v>Москва</v>
      </c>
      <c r="H39" s="65"/>
      <c r="I39" s="65"/>
      <c r="J39" s="65"/>
      <c r="K39" s="65"/>
      <c r="L39" s="65"/>
      <c r="M39" s="79">
        <f>M36</f>
        <v>0</v>
      </c>
      <c r="N39" s="80"/>
      <c r="O39" s="68"/>
      <c r="Q39" s="16"/>
    </row>
    <row r="40" spans="1:17" ht="13.5" customHeight="1" x14ac:dyDescent="0.2">
      <c r="A40" s="36">
        <v>5</v>
      </c>
      <c r="B40" s="81">
        <v>19</v>
      </c>
      <c r="C40" s="38">
        <f>IF(ISBLANK($B40),"",VLOOKUP($B40,[1]список!$B$1:$G$544,2,0))</f>
        <v>10111627378</v>
      </c>
      <c r="D40" s="38" t="str">
        <f>IF(ISBLANK($B40),"",VLOOKUP($B40,[1]список!$B$1:$G$544,3,0))</f>
        <v>Демирчян Артак</v>
      </c>
      <c r="E40" s="39">
        <f>IF(ISBLANK($B40),"",VLOOKUP($B40,[1]список!$B$1:$G$544,4,0))</f>
        <v>39242</v>
      </c>
      <c r="F40" s="39" t="str">
        <f>IF(ISBLANK($B40),"",VLOOKUP($B40,[1]список!$B$1:$H$544,5,0))</f>
        <v>КМС</v>
      </c>
      <c r="G40" s="40" t="str">
        <f>IF(ISBLANK($B40),"",VLOOKUP($B40,[1]список!$B$1:$H$544,6,0))</f>
        <v>Санкт-Петербург</v>
      </c>
      <c r="H40" s="135">
        <v>7.8858796296296283E-4</v>
      </c>
      <c r="I40" s="136">
        <f>I41-H40</f>
        <v>7.162268518518519E-4</v>
      </c>
      <c r="J40" s="136">
        <f>J41-I41</f>
        <v>7.2140046296296318E-4</v>
      </c>
      <c r="K40" s="136">
        <f>L40-J41</f>
        <v>7.464930555555558E-4</v>
      </c>
      <c r="L40" s="137">
        <v>2.9727083333333337E-3</v>
      </c>
      <c r="M40" s="138">
        <f>$M$19/((L40*24))</f>
        <v>56.065596748195382</v>
      </c>
      <c r="N40" s="139" t="str">
        <f>IF(L40&lt;=TIMEVALUE("3:56,000"),"МСМК",IF(L40&lt;=TIMEVALUE("4:04,000"),"МС",IF(L40&lt;=TIMEVALUE("4:17,000"),"КМС",IF(L40&lt;=TIMEVALUE("4:27,000"),"1 СР",IF(L40&lt;=TIMEVALUE("4:37,000"),"2 СР",IF(L40&lt;=TIMEVALUE("4:47,000"),"3 СР",IF(L40&lt;=TIMEVALUE("4:57,000"),"1 сп.юн.р.")))))))</f>
        <v>КМС</v>
      </c>
      <c r="O40" s="46"/>
    </row>
    <row r="41" spans="1:17" ht="13.5" customHeight="1" x14ac:dyDescent="0.2">
      <c r="A41" s="47">
        <v>5</v>
      </c>
      <c r="B41" s="82">
        <v>21</v>
      </c>
      <c r="C41" s="49">
        <f>IF(ISBLANK($B41),"",VLOOKUP($B41,[1]список!$B$1:$G$544,2,0))</f>
        <v>10091544742</v>
      </c>
      <c r="D41" s="49" t="str">
        <f>IF(ISBLANK($B41),"",VLOOKUP($B41,[1]список!$B$1:$G$544,3,0))</f>
        <v>Азиза Али</v>
      </c>
      <c r="E41" s="50">
        <f>IF(ISBLANK($B41),"",VLOOKUP($B41,[1]список!$B$1:$G$544,4,0))</f>
        <v>39346</v>
      </c>
      <c r="F41" s="50" t="str">
        <f>IF(ISBLANK($B41),"",VLOOKUP($B41,[1]список!$B$1:$H$544,5,0))</f>
        <v>КМС</v>
      </c>
      <c r="G41" s="51" t="str">
        <f>IF(ISBLANK($B41),"",VLOOKUP($B41,[1]список!$B$1:$H$544,6,0))</f>
        <v>Санкт-Петербург</v>
      </c>
      <c r="H41" s="140"/>
      <c r="I41" s="141">
        <v>1.5048148148148147E-3</v>
      </c>
      <c r="J41" s="141">
        <v>2.2262152777777779E-3</v>
      </c>
      <c r="K41" s="140"/>
      <c r="L41" s="140"/>
      <c r="M41" s="142">
        <f>M40</f>
        <v>56.065596748195382</v>
      </c>
      <c r="N41" s="55"/>
      <c r="O41" s="56"/>
      <c r="Q41" s="1"/>
    </row>
    <row r="42" spans="1:17" ht="13.5" customHeight="1" x14ac:dyDescent="0.2">
      <c r="A42" s="47">
        <v>5</v>
      </c>
      <c r="B42" s="82">
        <v>26</v>
      </c>
      <c r="C42" s="49">
        <f>IF(ISBLANK($B42),"",VLOOKUP($B42,[1]список!$B$1:$G$544,2,0))</f>
        <v>10125311654</v>
      </c>
      <c r="D42" s="49" t="str">
        <f>IF(ISBLANK($B42),"",VLOOKUP($B42,[1]список!$B$1:$G$544,3,0))</f>
        <v>Новолодский Ростислав</v>
      </c>
      <c r="E42" s="50">
        <f>IF(ISBLANK($B42),"",VLOOKUP($B42,[1]список!$B$1:$G$544,4,0))</f>
        <v>39586</v>
      </c>
      <c r="F42" s="50" t="str">
        <f>IF(ISBLANK($B42),"",VLOOKUP($B42,[1]список!$B$1:$H$544,5,0))</f>
        <v>КМС</v>
      </c>
      <c r="G42" s="51" t="str">
        <f>IF(ISBLANK($B42),"",VLOOKUP($B42,[1]список!$B$1:$H$544,6,0))</f>
        <v>Санкт-Петербург</v>
      </c>
      <c r="H42" s="140"/>
      <c r="I42" s="140"/>
      <c r="J42" s="140"/>
      <c r="K42" s="140"/>
      <c r="L42" s="140"/>
      <c r="M42" s="142">
        <f>M40</f>
        <v>56.065596748195382</v>
      </c>
      <c r="N42" s="55"/>
      <c r="O42" s="56"/>
      <c r="Q42" s="1"/>
    </row>
    <row r="43" spans="1:17" ht="13.5" customHeight="1" thickBot="1" x14ac:dyDescent="0.25">
      <c r="A43" s="60">
        <v>5</v>
      </c>
      <c r="B43" s="85">
        <v>20</v>
      </c>
      <c r="C43" s="62">
        <f>IF(ISBLANK($B43),"",VLOOKUP($B43,[1]список!$B$1:$G$544,2,0))</f>
        <v>10111625257</v>
      </c>
      <c r="D43" s="62" t="str">
        <f>IF(ISBLANK($B43),"",VLOOKUP($B43,[1]список!$B$1:$G$544,3,0))</f>
        <v>Попов Марк</v>
      </c>
      <c r="E43" s="63">
        <f>IF(ISBLANK($B43),"",VLOOKUP($B43,[1]список!$B$1:$G$544,4,0))</f>
        <v>39219</v>
      </c>
      <c r="F43" s="63" t="str">
        <f>IF(ISBLANK($B43),"",VLOOKUP($B43,[1]список!$B$1:$H$544,5,0))</f>
        <v>1 СР</v>
      </c>
      <c r="G43" s="64" t="str">
        <f>IF(ISBLANK($B43),"",VLOOKUP($B43,[1]список!$B$1:$H$544,6,0))</f>
        <v>Санкт-Петербург</v>
      </c>
      <c r="H43" s="143"/>
      <c r="I43" s="143"/>
      <c r="J43" s="143"/>
      <c r="K43" s="143"/>
      <c r="L43" s="143"/>
      <c r="M43" s="144">
        <f>M40</f>
        <v>56.065596748195382</v>
      </c>
      <c r="N43" s="80"/>
      <c r="O43" s="68"/>
      <c r="Q43" s="1"/>
    </row>
    <row r="44" spans="1:17" ht="13.5" customHeight="1" x14ac:dyDescent="0.2">
      <c r="A44" s="36">
        <v>6</v>
      </c>
      <c r="B44" s="81">
        <v>28</v>
      </c>
      <c r="C44" s="38">
        <f>IF(ISBLANK($B44),"",VLOOKUP($B44,[1]список!$B$1:$G$544,2,0))</f>
        <v>10115493638</v>
      </c>
      <c r="D44" s="38" t="str">
        <f>IF(ISBLANK($B44),"",VLOOKUP($B44,[1]список!$B$1:$G$544,3,0))</f>
        <v>Блохин Кирилл</v>
      </c>
      <c r="E44" s="39">
        <f>IF(ISBLANK($B44),"",VLOOKUP($B44,[1]список!$B$1:$G$544,4,0))</f>
        <v>39608</v>
      </c>
      <c r="F44" s="39" t="str">
        <f>IF(ISBLANK($B44),"",VLOOKUP($B44,[1]список!$B$1:$H$544,5,0))</f>
        <v>КМС</v>
      </c>
      <c r="G44" s="40" t="str">
        <f>IF(ISBLANK($B44),"",VLOOKUP($B44,[1]список!$B$1:$H$544,6,0))</f>
        <v>Санкт-Петербург</v>
      </c>
      <c r="H44" s="135">
        <v>7.9512731481481481E-4</v>
      </c>
      <c r="I44" s="136">
        <f>I45-H44</f>
        <v>7.1931712962962954E-4</v>
      </c>
      <c r="J44" s="136">
        <f>J45-I45</f>
        <v>7.2714120370370359E-4</v>
      </c>
      <c r="K44" s="136">
        <f>L44-J45</f>
        <v>7.318634259259266E-4</v>
      </c>
      <c r="L44" s="137">
        <v>2.9734490740740745E-3</v>
      </c>
      <c r="M44" s="138">
        <f>$M$19/((L44*24))</f>
        <v>56.051629778985301</v>
      </c>
      <c r="N44" s="139" t="str">
        <f>IF(L44&lt;=TIMEVALUE("3:56,000"),"МСМК",IF(L44&lt;=TIMEVALUE("4:04,000"),"МС",IF(L44&lt;=TIMEVALUE("4:17,000"),"КМС",IF(L44&lt;=TIMEVALUE("4:27,000"),"1 СР",IF(L44&lt;=TIMEVALUE("4:37,000"),"2 СР",IF(L44&lt;=TIMEVALUE("4:47,000"),"3 СР",IF(L44&lt;=TIMEVALUE("4:57,000"),"1 сп.юн.р.")))))))</f>
        <v>КМС</v>
      </c>
      <c r="O44" s="46"/>
      <c r="Q44" s="1"/>
    </row>
    <row r="45" spans="1:17" ht="13.5" customHeight="1" x14ac:dyDescent="0.2">
      <c r="A45" s="47">
        <v>6</v>
      </c>
      <c r="B45" s="82">
        <v>18</v>
      </c>
      <c r="C45" s="49">
        <f>IF(ISBLANK($B45),"",VLOOKUP($B45,[1]список!$B$1:$G$544,2,0))</f>
        <v>10111626065</v>
      </c>
      <c r="D45" s="49" t="str">
        <f>IF(ISBLANK($B45),"",VLOOKUP($B45,[1]список!$B$1:$G$544,3,0))</f>
        <v>Павловский Дмитрий</v>
      </c>
      <c r="E45" s="50">
        <f>IF(ISBLANK($B45),"",VLOOKUP($B45,[1]список!$B$1:$G$544,4,0))</f>
        <v>39347</v>
      </c>
      <c r="F45" s="50" t="str">
        <f>IF(ISBLANK($B45),"",VLOOKUP($B45,[1]список!$B$1:$H$544,5,0))</f>
        <v>КМС</v>
      </c>
      <c r="G45" s="51" t="str">
        <f>IF(ISBLANK($B45),"",VLOOKUP($B45,[1]список!$B$1:$H$544,6,0))</f>
        <v>Санкт-Петербург</v>
      </c>
      <c r="H45" s="140"/>
      <c r="I45" s="141">
        <v>1.5144444444444443E-3</v>
      </c>
      <c r="J45" s="141">
        <v>2.2415856481481479E-3</v>
      </c>
      <c r="K45" s="140"/>
      <c r="L45" s="140"/>
      <c r="M45" s="142">
        <f>M44</f>
        <v>56.051629778985301</v>
      </c>
      <c r="N45" s="55"/>
      <c r="O45" s="56"/>
      <c r="Q45" s="1"/>
    </row>
    <row r="46" spans="1:17" ht="13.5" customHeight="1" x14ac:dyDescent="0.2">
      <c r="A46" s="47">
        <v>6</v>
      </c>
      <c r="B46" s="82">
        <v>23</v>
      </c>
      <c r="C46" s="49">
        <f>IF(ISBLANK($B46),"",VLOOKUP($B46,[1]список!$B$1:$G$544,2,0))</f>
        <v>10105978645</v>
      </c>
      <c r="D46" s="49" t="str">
        <f>IF(ISBLANK($B46),"",VLOOKUP($B46,[1]список!$B$1:$G$544,3,0))</f>
        <v>Гончаров Александр</v>
      </c>
      <c r="E46" s="50">
        <f>IF(ISBLANK($B46),"",VLOOKUP($B46,[1]список!$B$1:$G$544,4,0))</f>
        <v>39215</v>
      </c>
      <c r="F46" s="50" t="str">
        <f>IF(ISBLANK($B46),"",VLOOKUP($B46,[1]список!$B$1:$H$544,5,0))</f>
        <v>КМС</v>
      </c>
      <c r="G46" s="51" t="str">
        <f>IF(ISBLANK($B46),"",VLOOKUP($B46,[1]список!$B$1:$H$544,6,0))</f>
        <v>Санкт-Петербург</v>
      </c>
      <c r="H46" s="140"/>
      <c r="I46" s="140"/>
      <c r="J46" s="140"/>
      <c r="K46" s="140"/>
      <c r="L46" s="140"/>
      <c r="M46" s="142">
        <f>M44</f>
        <v>56.051629778985301</v>
      </c>
      <c r="N46" s="55"/>
      <c r="O46" s="56"/>
    </row>
    <row r="47" spans="1:17" ht="13.5" customHeight="1" thickBot="1" x14ac:dyDescent="0.25">
      <c r="A47" s="47">
        <v>6</v>
      </c>
      <c r="B47" s="82">
        <v>25</v>
      </c>
      <c r="C47" s="86">
        <f>IF(ISBLANK($B47),"",VLOOKUP($B47,[1]список!$B$1:$G$544,2,0))</f>
        <v>10125311856</v>
      </c>
      <c r="D47" s="86" t="str">
        <f>IF(ISBLANK($B47),"",VLOOKUP($B47,[1]список!$B$1:$G$544,3,0))</f>
        <v>Свиловский Денис</v>
      </c>
      <c r="E47" s="87">
        <f>IF(ISBLANK($B47),"",VLOOKUP($B47,[1]список!$B$1:$G$544,4,0))</f>
        <v>39525</v>
      </c>
      <c r="F47" s="87" t="str">
        <f>IF(ISBLANK($B47),"",VLOOKUP($B47,[1]список!$B$1:$H$544,5,0))</f>
        <v>2 СР</v>
      </c>
      <c r="G47" s="88" t="str">
        <f>IF(ISBLANK($B47),"",VLOOKUP($B47,[1]список!$B$1:$H$544,6,0))</f>
        <v>Санкт-Петербург</v>
      </c>
      <c r="H47" s="140"/>
      <c r="I47" s="140"/>
      <c r="J47" s="140"/>
      <c r="K47" s="140"/>
      <c r="L47" s="140"/>
      <c r="M47" s="142">
        <f>M44</f>
        <v>56.051629778985301</v>
      </c>
      <c r="N47" s="89"/>
      <c r="O47" s="56"/>
      <c r="Q47" s="16"/>
    </row>
    <row r="48" spans="1:17" ht="13.5" customHeight="1" x14ac:dyDescent="0.2">
      <c r="A48" s="90">
        <v>7</v>
      </c>
      <c r="B48" s="91">
        <v>119</v>
      </c>
      <c r="C48" s="38">
        <f>IF(ISBLANK($B48),"",VLOOKUP($B48,[1]список!$B$1:$G$544,2,0))</f>
        <v>10093990253</v>
      </c>
      <c r="D48" s="38" t="str">
        <f>IF(ISBLANK($B48),"",VLOOKUP($B48,[1]список!$B$1:$G$544,3,0))</f>
        <v>Майоров Ждан</v>
      </c>
      <c r="E48" s="39">
        <f>IF(ISBLANK($B48),"",VLOOKUP($B48,[1]список!$B$1:$G$544,4,0))</f>
        <v>38453</v>
      </c>
      <c r="F48" s="39" t="str">
        <f>IF(ISBLANK($B48),"",VLOOKUP($B48,[1]список!$B$1:$H$544,5,0))</f>
        <v>КМС</v>
      </c>
      <c r="G48" s="40" t="str">
        <f>IF(ISBLANK($B48),"",VLOOKUP($B48,[1]список!$B$1:$H$544,6,0))</f>
        <v>Тульская область</v>
      </c>
      <c r="H48" s="135">
        <v>7.8991898148148161E-4</v>
      </c>
      <c r="I48" s="136">
        <f>I49-H48</f>
        <v>7.372453703703702E-4</v>
      </c>
      <c r="J48" s="136">
        <f>J49-I49</f>
        <v>7.3358796296296301E-4</v>
      </c>
      <c r="K48" s="136">
        <f>L48-J49</f>
        <v>7.2052083333333343E-4</v>
      </c>
      <c r="L48" s="137">
        <v>2.9812731481481483E-3</v>
      </c>
      <c r="M48" s="138">
        <f>$M$19/((L48*24))</f>
        <v>55.904527490274937</v>
      </c>
      <c r="N48" s="139" t="str">
        <f>IF(L48&lt;=TIMEVALUE("3:56,000"),"МСМК",IF(L48&lt;=TIMEVALUE("4:04,000"),"МС",IF(L48&lt;=TIMEVALUE("4:17,000"),"КМС",IF(L48&lt;=TIMEVALUE("4:27,000"),"1 СР",IF(L48&lt;=TIMEVALUE("4:37,000"),"2 СР",IF(L48&lt;=TIMEVALUE("4:47,000"),"3 СР",IF(L48&lt;=TIMEVALUE("4:57,000"),"1 сп.юн.р.")))))))</f>
        <v>1 СР</v>
      </c>
      <c r="O48" s="46"/>
      <c r="Q48" s="16"/>
    </row>
    <row r="49" spans="1:17" ht="13.5" customHeight="1" x14ac:dyDescent="0.2">
      <c r="A49" s="92">
        <v>7</v>
      </c>
      <c r="B49" s="93">
        <v>122</v>
      </c>
      <c r="C49" s="49">
        <f>IF(ISBLANK($B49),"",VLOOKUP($B49,[1]список!$B$1:$G$544,2,0))</f>
        <v>10095011985</v>
      </c>
      <c r="D49" s="49" t="str">
        <f>IF(ISBLANK($B49),"",VLOOKUP($B49,[1]список!$B$1:$G$544,3,0))</f>
        <v>Почерняев Николай</v>
      </c>
      <c r="E49" s="50">
        <f>IF(ISBLANK($B49),"",VLOOKUP($B49,[1]список!$B$1:$G$544,4,0))</f>
        <v>38515</v>
      </c>
      <c r="F49" s="50" t="str">
        <f>IF(ISBLANK($B49),"",VLOOKUP($B49,[1]список!$B$1:$H$544,5,0))</f>
        <v>КМС</v>
      </c>
      <c r="G49" s="51" t="str">
        <f>IF(ISBLANK($B49),"",VLOOKUP($B49,[1]список!$B$1:$H$544,6,0))</f>
        <v>Тульская область</v>
      </c>
      <c r="H49" s="140"/>
      <c r="I49" s="141">
        <v>1.5271643518518518E-3</v>
      </c>
      <c r="J49" s="141">
        <v>2.2607523148148148E-3</v>
      </c>
      <c r="K49" s="140"/>
      <c r="L49" s="140"/>
      <c r="M49" s="142">
        <f>M48</f>
        <v>55.904527490274937</v>
      </c>
      <c r="N49" s="55"/>
      <c r="O49" s="56"/>
      <c r="Q49" s="16"/>
    </row>
    <row r="50" spans="1:17" ht="13.5" customHeight="1" x14ac:dyDescent="0.2">
      <c r="A50" s="92">
        <v>7</v>
      </c>
      <c r="B50" s="93">
        <v>123</v>
      </c>
      <c r="C50" s="49">
        <f>IF(ISBLANK($B50),"",VLOOKUP($B50,[1]список!$B$1:$G$544,2,0))</f>
        <v>10104123420</v>
      </c>
      <c r="D50" s="49" t="str">
        <f>IF(ISBLANK($B50),"",VLOOKUP($B50,[1]список!$B$1:$G$544,3,0))</f>
        <v>Суятин Мирослав</v>
      </c>
      <c r="E50" s="50">
        <f>IF(ISBLANK($B50),"",VLOOKUP($B50,[1]список!$B$1:$G$544,4,0))</f>
        <v>38726</v>
      </c>
      <c r="F50" s="50" t="str">
        <f>IF(ISBLANK($B50),"",VLOOKUP($B50,[1]список!$B$1:$H$544,5,0))</f>
        <v>КМС</v>
      </c>
      <c r="G50" s="51" t="str">
        <f>IF(ISBLANK($B50),"",VLOOKUP($B50,[1]список!$B$1:$H$544,6,0))</f>
        <v>Тульская область</v>
      </c>
      <c r="H50" s="140"/>
      <c r="I50" s="140"/>
      <c r="J50" s="140"/>
      <c r="K50" s="140"/>
      <c r="L50" s="140"/>
      <c r="M50" s="142">
        <f>M48</f>
        <v>55.904527490274937</v>
      </c>
      <c r="N50" s="55"/>
      <c r="O50" s="56"/>
      <c r="Q50" s="16"/>
    </row>
    <row r="51" spans="1:17" ht="13.5" customHeight="1" thickBot="1" x14ac:dyDescent="0.25">
      <c r="A51" s="94">
        <v>7</v>
      </c>
      <c r="B51" s="95">
        <v>112</v>
      </c>
      <c r="C51" s="62">
        <f>IF(ISBLANK($B51),"",VLOOKUP($B51,[1]список!$B$1:$G$544,2,0))</f>
        <v>10104596696</v>
      </c>
      <c r="D51" s="62" t="str">
        <f>IF(ISBLANK($B51),"",VLOOKUP($B51,[1]список!$B$1:$G$544,3,0))</f>
        <v>Быков Антон</v>
      </c>
      <c r="E51" s="63">
        <f>IF(ISBLANK($B51),"",VLOOKUP($B51,[1]список!$B$1:$G$544,4,0))</f>
        <v>38940</v>
      </c>
      <c r="F51" s="63" t="str">
        <f>IF(ISBLANK($B51),"",VLOOKUP($B51,[1]список!$B$1:$H$544,5,0))</f>
        <v>КМС</v>
      </c>
      <c r="G51" s="64" t="str">
        <f>IF(ISBLANK($B51),"",VLOOKUP($B51,[1]список!$B$1:$H$544,6,0))</f>
        <v>Тульская область</v>
      </c>
      <c r="H51" s="143"/>
      <c r="I51" s="143"/>
      <c r="J51" s="143"/>
      <c r="K51" s="143"/>
      <c r="L51" s="143"/>
      <c r="M51" s="144">
        <f>M48</f>
        <v>55.904527490274937</v>
      </c>
      <c r="N51" s="80"/>
      <c r="O51" s="68"/>
    </row>
    <row r="52" spans="1:17" ht="13.5" customHeight="1" x14ac:dyDescent="0.2">
      <c r="A52" s="69">
        <v>8</v>
      </c>
      <c r="B52" s="70">
        <v>190</v>
      </c>
      <c r="C52" s="71">
        <f>IF(ISBLANK($B52),"",VLOOKUP($B52,[1]список!$B$1:$G$544,2,0))</f>
        <v>10091972047</v>
      </c>
      <c r="D52" s="71" t="str">
        <f>IF(ISBLANK($B52),"",VLOOKUP($B52,[1]список!$B$1:$G$544,3,0))</f>
        <v>Кузьменко Николай</v>
      </c>
      <c r="E52" s="72">
        <f>IF(ISBLANK($B52),"",VLOOKUP($B52,[1]список!$B$1:$G$544,4,0))</f>
        <v>38556</v>
      </c>
      <c r="F52" s="72" t="str">
        <f>IF(ISBLANK($B52),"",VLOOKUP($B52,[1]список!$B$1:$H$544,5,0))</f>
        <v>МС</v>
      </c>
      <c r="G52" s="73" t="str">
        <f>IF(ISBLANK($B52),"",VLOOKUP($B52,[1]список!$B$1:$H$544,6,0))</f>
        <v>Омская область</v>
      </c>
      <c r="H52" s="145">
        <v>7.9954861111111101E-4</v>
      </c>
      <c r="I52" s="141">
        <f>I53-H52</f>
        <v>7.0790509259259255E-4</v>
      </c>
      <c r="J52" s="141">
        <f>J53-I53</f>
        <v>7.2939814814814829E-4</v>
      </c>
      <c r="K52" s="141">
        <f>L52-J53</f>
        <v>7.5222222222222227E-4</v>
      </c>
      <c r="L52" s="146">
        <v>2.9890740740740741E-3</v>
      </c>
      <c r="M52" s="147">
        <f>$M$19/((L52*24))</f>
        <v>55.75862709869277</v>
      </c>
      <c r="N52" s="148" t="str">
        <f>IF(L52&lt;=TIMEVALUE("3:56,000"),"МСМК",IF(L52&lt;=TIMEVALUE("4:04,000"),"МС",IF(L52&lt;=TIMEVALUE("4:17,000"),"КМС",IF(L52&lt;=TIMEVALUE("4:27,000"),"1 СР",IF(L52&lt;=TIMEVALUE("4:37,000"),"2 СР",IF(L52&lt;=TIMEVALUE("4:47,000"),"3 СР",IF(L52&lt;=TIMEVALUE("4:57,000"),"1 сп.юн.р.")))))))</f>
        <v>1 СР</v>
      </c>
      <c r="O52" s="78"/>
      <c r="Q52" s="1"/>
    </row>
    <row r="53" spans="1:17" ht="13.5" customHeight="1" x14ac:dyDescent="0.2">
      <c r="A53" s="47">
        <v>8</v>
      </c>
      <c r="B53" s="70">
        <v>191</v>
      </c>
      <c r="C53" s="49">
        <f>IF(ISBLANK($B53),"",VLOOKUP($B53,[1]список!$B$1:$G$544,2,0))</f>
        <v>10081650136</v>
      </c>
      <c r="D53" s="49" t="str">
        <f>IF(ISBLANK($B53),"",VLOOKUP($B53,[1]список!$B$1:$G$544,3,0))</f>
        <v>Пурыгин Максим</v>
      </c>
      <c r="E53" s="50">
        <f>IF(ISBLANK($B53),"",VLOOKUP($B53,[1]список!$B$1:$G$544,4,0))</f>
        <v>38520</v>
      </c>
      <c r="F53" s="50" t="str">
        <f>IF(ISBLANK($B53),"",VLOOKUP($B53,[1]список!$B$1:$H$544,5,0))</f>
        <v>МС</v>
      </c>
      <c r="G53" s="51" t="str">
        <f>IF(ISBLANK($B53),"",VLOOKUP($B53,[1]список!$B$1:$H$544,6,0))</f>
        <v>Омская область</v>
      </c>
      <c r="H53" s="140"/>
      <c r="I53" s="141">
        <v>1.5074537037037036E-3</v>
      </c>
      <c r="J53" s="141">
        <v>2.2368518518518518E-3</v>
      </c>
      <c r="K53" s="140"/>
      <c r="L53" s="140"/>
      <c r="M53" s="142">
        <f>M52</f>
        <v>55.75862709869277</v>
      </c>
      <c r="N53" s="55"/>
      <c r="O53" s="56"/>
      <c r="Q53" s="1"/>
    </row>
    <row r="54" spans="1:17" ht="13.5" customHeight="1" x14ac:dyDescent="0.2">
      <c r="A54" s="47">
        <v>8</v>
      </c>
      <c r="B54" s="70">
        <v>192</v>
      </c>
      <c r="C54" s="49">
        <f>IF(ISBLANK($B54),"",VLOOKUP($B54,[1]список!$B$1:$G$544,2,0))</f>
        <v>10093607206</v>
      </c>
      <c r="D54" s="49" t="str">
        <f>IF(ISBLANK($B54),"",VLOOKUP($B54,[1]список!$B$1:$G$544,3,0))</f>
        <v>Павлов Ярослав</v>
      </c>
      <c r="E54" s="50">
        <f>IF(ISBLANK($B54),"",VLOOKUP($B54,[1]список!$B$1:$G$544,4,0))</f>
        <v>38654</v>
      </c>
      <c r="F54" s="50" t="str">
        <f>IF(ISBLANK($B54),"",VLOOKUP($B54,[1]список!$B$1:$H$544,5,0))</f>
        <v>КМС</v>
      </c>
      <c r="G54" s="51" t="str">
        <f>IF(ISBLANK($B54),"",VLOOKUP($B54,[1]список!$B$1:$H$544,6,0))</f>
        <v>Омская область</v>
      </c>
      <c r="H54" s="140"/>
      <c r="I54" s="140"/>
      <c r="J54" s="140"/>
      <c r="K54" s="140"/>
      <c r="L54" s="140"/>
      <c r="M54" s="142">
        <f>M52</f>
        <v>55.75862709869277</v>
      </c>
      <c r="N54" s="55"/>
      <c r="O54" s="56"/>
      <c r="Q54" s="1"/>
    </row>
    <row r="55" spans="1:17" ht="13.5" customHeight="1" thickBot="1" x14ac:dyDescent="0.25">
      <c r="A55" s="60">
        <v>8</v>
      </c>
      <c r="B55" s="83">
        <v>193</v>
      </c>
      <c r="C55" s="62">
        <f>IF(ISBLANK($B55),"",VLOOKUP($B55,[1]список!$B$1:$G$544,2,0))</f>
        <v>10105335415</v>
      </c>
      <c r="D55" s="62" t="str">
        <f>IF(ISBLANK($B55),"",VLOOKUP($B55,[1]список!$B$1:$G$544,3,0))</f>
        <v>Мухин Михаил</v>
      </c>
      <c r="E55" s="63">
        <f>IF(ISBLANK($B55),"",VLOOKUP($B55,[1]список!$B$1:$G$544,4,0))</f>
        <v>38507</v>
      </c>
      <c r="F55" s="63" t="str">
        <f>IF(ISBLANK($B55),"",VLOOKUP($B55,[1]список!$B$1:$H$544,5,0))</f>
        <v>МС</v>
      </c>
      <c r="G55" s="64" t="str">
        <f>IF(ISBLANK($B55),"",VLOOKUP($B55,[1]список!$B$1:$H$544,6,0))</f>
        <v>Омская область</v>
      </c>
      <c r="H55" s="143"/>
      <c r="I55" s="143"/>
      <c r="J55" s="143"/>
      <c r="K55" s="143"/>
      <c r="L55" s="143"/>
      <c r="M55" s="144">
        <f>M52</f>
        <v>55.75862709869277</v>
      </c>
      <c r="N55" s="80"/>
      <c r="O55" s="68"/>
      <c r="Q55" s="1"/>
    </row>
    <row r="56" spans="1:17" ht="13.5" customHeight="1" x14ac:dyDescent="0.2">
      <c r="A56" s="36">
        <v>9</v>
      </c>
      <c r="B56" s="84">
        <v>74</v>
      </c>
      <c r="C56" s="38">
        <f>IF(ISBLANK($B56),"",VLOOKUP($B56,[1]список!$B$1:$G$544,2,0))</f>
        <v>10080977301</v>
      </c>
      <c r="D56" s="38" t="str">
        <f>IF(ISBLANK($B56),"",VLOOKUP($B56,[1]список!$B$1:$G$544,3,0))</f>
        <v>Керницкий Максим</v>
      </c>
      <c r="E56" s="39">
        <f>IF(ISBLANK($B56),"",VLOOKUP($B56,[1]список!$B$1:$G$544,4,0))</f>
        <v>38983</v>
      </c>
      <c r="F56" s="39" t="str">
        <f>IF(ISBLANK($B56),"",VLOOKUP($B56,[1]список!$B$1:$H$544,5,0))</f>
        <v>КМС</v>
      </c>
      <c r="G56" s="40" t="s">
        <v>65</v>
      </c>
      <c r="H56" s="135">
        <v>8.0038194444444438E-4</v>
      </c>
      <c r="I56" s="136">
        <f>I57-H56</f>
        <v>7.2932870370370393E-4</v>
      </c>
      <c r="J56" s="136">
        <f>J57-I57</f>
        <v>7.3342592592592578E-4</v>
      </c>
      <c r="K56" s="136">
        <f>L56-J57</f>
        <v>7.4234953703703702E-4</v>
      </c>
      <c r="L56" s="137">
        <v>3.0054861111111111E-3</v>
      </c>
      <c r="M56" s="138">
        <f>$M$19/((L56*24))</f>
        <v>55.454146352734583</v>
      </c>
      <c r="N56" s="139" t="str">
        <f>IF(L56&lt;=TIMEVALUE("3:56,000"),"МСМК",IF(L56&lt;=TIMEVALUE("4:04,000"),"МС",IF(L56&lt;=TIMEVALUE("4:17,000"),"КМС",IF(L56&lt;=TIMEVALUE("4:27,000"),"1 СР",IF(L56&lt;=TIMEVALUE("4:37,000"),"2 СР",IF(L56&lt;=TIMEVALUE("4:47,000"),"3 СР",IF(L56&lt;=TIMEVALUE("4:57,000"),"1 сп.юн.р.")))))))</f>
        <v>1 СР</v>
      </c>
      <c r="O56" s="46"/>
    </row>
    <row r="57" spans="1:17" ht="13.5" customHeight="1" x14ac:dyDescent="0.2">
      <c r="A57" s="47">
        <v>9</v>
      </c>
      <c r="B57" s="70">
        <v>77</v>
      </c>
      <c r="C57" s="49">
        <f>IF(ISBLANK($B57),"",VLOOKUP($B57,[1]список!$B$1:$G$544,2,0))</f>
        <v>10091550301</v>
      </c>
      <c r="D57" s="49" t="str">
        <f>IF(ISBLANK($B57),"",VLOOKUP($B57,[1]список!$B$1:$G$544,3,0))</f>
        <v>Никонов Александр</v>
      </c>
      <c r="E57" s="50">
        <f>IF(ISBLANK($B57),"",VLOOKUP($B57,[1]список!$B$1:$G$544,4,0))</f>
        <v>38875</v>
      </c>
      <c r="F57" s="50" t="str">
        <f>IF(ISBLANK($B57),"",VLOOKUP($B57,[1]список!$B$1:$H$544,5,0))</f>
        <v>КМС</v>
      </c>
      <c r="G57" s="51" t="s">
        <v>65</v>
      </c>
      <c r="H57" s="140"/>
      <c r="I57" s="141">
        <v>1.5297106481481483E-3</v>
      </c>
      <c r="J57" s="141">
        <v>2.2631365740740741E-3</v>
      </c>
      <c r="K57" s="140"/>
      <c r="L57" s="140"/>
      <c r="M57" s="142">
        <f>M56</f>
        <v>55.454146352734583</v>
      </c>
      <c r="N57" s="55"/>
      <c r="O57" s="56"/>
      <c r="Q57" s="16"/>
    </row>
    <row r="58" spans="1:17" ht="13.5" customHeight="1" x14ac:dyDescent="0.2">
      <c r="A58" s="47">
        <v>9</v>
      </c>
      <c r="B58" s="70">
        <v>78</v>
      </c>
      <c r="C58" s="49">
        <f>IF(ISBLANK($B58),"",VLOOKUP($B58,[1]список!$B$1:$G$544,2,0))</f>
        <v>10109160649</v>
      </c>
      <c r="D58" s="49" t="str">
        <f>IF(ISBLANK($B58),"",VLOOKUP($B58,[1]список!$B$1:$G$544,3,0))</f>
        <v>Созинов Владислав</v>
      </c>
      <c r="E58" s="50">
        <f>IF(ISBLANK($B58),"",VLOOKUP($B58,[1]список!$B$1:$G$544,4,0))</f>
        <v>38970</v>
      </c>
      <c r="F58" s="50" t="str">
        <f>IF(ISBLANK($B58),"",VLOOKUP($B58,[1]список!$B$1:$H$544,5,0))</f>
        <v>КМС</v>
      </c>
      <c r="G58" s="51" t="s">
        <v>65</v>
      </c>
      <c r="H58" s="140"/>
      <c r="I58" s="140"/>
      <c r="J58" s="140"/>
      <c r="K58" s="140"/>
      <c r="L58" s="140"/>
      <c r="M58" s="142">
        <f>M56</f>
        <v>55.454146352734583</v>
      </c>
      <c r="N58" s="55"/>
      <c r="O58" s="56"/>
      <c r="Q58" s="16"/>
    </row>
    <row r="59" spans="1:17" ht="13.5" customHeight="1" thickBot="1" x14ac:dyDescent="0.25">
      <c r="A59" s="60">
        <v>9</v>
      </c>
      <c r="B59" s="83">
        <v>81</v>
      </c>
      <c r="C59" s="62">
        <f>IF(ISBLANK($B59),"",VLOOKUP($B59,[1]список!$B$1:$G$544,2,0))</f>
        <v>10090366392</v>
      </c>
      <c r="D59" s="62" t="str">
        <f>IF(ISBLANK($B59),"",VLOOKUP($B59,[1]список!$B$1:$G$544,3,0))</f>
        <v>Жогло Ефим</v>
      </c>
      <c r="E59" s="63">
        <f>IF(ISBLANK($B59),"",VLOOKUP($B59,[1]список!$B$1:$G$544,4,0))</f>
        <v>38750</v>
      </c>
      <c r="F59" s="63" t="str">
        <f>IF(ISBLANK($B59),"",VLOOKUP($B59,[1]список!$B$1:$H$544,5,0))</f>
        <v>КМС</v>
      </c>
      <c r="G59" s="64" t="s">
        <v>65</v>
      </c>
      <c r="H59" s="143"/>
      <c r="I59" s="143"/>
      <c r="J59" s="143"/>
      <c r="K59" s="143"/>
      <c r="L59" s="143"/>
      <c r="M59" s="144">
        <f>M56</f>
        <v>55.454146352734583</v>
      </c>
      <c r="N59" s="80"/>
      <c r="O59" s="68"/>
      <c r="Q59" s="16"/>
    </row>
    <row r="60" spans="1:17" ht="13.5" customHeight="1" x14ac:dyDescent="0.2">
      <c r="A60" s="36">
        <v>10</v>
      </c>
      <c r="B60" s="37">
        <v>30</v>
      </c>
      <c r="C60" s="38">
        <f>IF(ISBLANK($B60),"",VLOOKUP($B60,[1]список!$B$1:$G$544,2,0))</f>
        <v>10083324091</v>
      </c>
      <c r="D60" s="38" t="str">
        <f>IF(ISBLANK($B60),"",VLOOKUP($B60,[1]список!$B$1:$G$544,3,0))</f>
        <v>Кокунов Григорий</v>
      </c>
      <c r="E60" s="39">
        <f>IF(ISBLANK($B60),"",VLOOKUP($B60,[1]список!$B$1:$G$544,4,0))</f>
        <v>39854</v>
      </c>
      <c r="F60" s="39" t="str">
        <f>IF(ISBLANK($B60),"",VLOOKUP($B60,[1]список!$B$1:$H$544,5,0))</f>
        <v>2 СР</v>
      </c>
      <c r="G60" s="40" t="str">
        <f>IF(ISBLANK($B60),"",VLOOKUP($B60,[1]список!$B$1:$H$544,6,0))</f>
        <v>Санкт-Петербург</v>
      </c>
      <c r="H60" s="135">
        <v>8.1155092592592596E-4</v>
      </c>
      <c r="I60" s="136">
        <f>I61-H60</f>
        <v>7.5570601851851829E-4</v>
      </c>
      <c r="J60" s="136">
        <f>J61-I61</f>
        <v>7.5650462962962976E-4</v>
      </c>
      <c r="K60" s="136">
        <f>L60-J61</f>
        <v>7.6824074074074078E-4</v>
      </c>
      <c r="L60" s="137">
        <v>3.0920023148148148E-3</v>
      </c>
      <c r="M60" s="138">
        <f>$M$19/((L60*24))</f>
        <v>53.902503846168244</v>
      </c>
      <c r="N60" s="139" t="str">
        <f>IF(L60&lt;=TIMEVALUE("3:56,000"),"МСМК",IF(L60&lt;=TIMEVALUE("4:04,000"),"МС",IF(L60&lt;=TIMEVALUE("4:17,000"),"КМС",IF(L60&lt;=TIMEVALUE("4:27,000"),"1 СР",IF(L60&lt;=TIMEVALUE("4:37,000"),"2 СР",IF(L60&lt;=TIMEVALUE("4:47,000"),"3 СР",IF(L60&lt;=TIMEVALUE("4:57,000"),"1 сп.юн.р.")))))))</f>
        <v>2 СР</v>
      </c>
      <c r="O60" s="46"/>
      <c r="Q60" s="16"/>
    </row>
    <row r="61" spans="1:17" ht="13.5" customHeight="1" x14ac:dyDescent="0.2">
      <c r="A61" s="47">
        <v>10</v>
      </c>
      <c r="B61" s="57">
        <v>29</v>
      </c>
      <c r="C61" s="49">
        <f>IF(ISBLANK($B61),"",VLOOKUP($B61,[1]список!$B$1:$G$544,2,0))</f>
        <v>10137307322</v>
      </c>
      <c r="D61" s="49" t="str">
        <f>IF(ISBLANK($B61),"",VLOOKUP($B61,[1]список!$B$1:$G$544,3,0))</f>
        <v>Вешняков Даниил</v>
      </c>
      <c r="E61" s="50">
        <f>IF(ISBLANK($B61),"",VLOOKUP($B61,[1]список!$B$1:$G$544,4,0))</f>
        <v>39527</v>
      </c>
      <c r="F61" s="50" t="str">
        <f>IF(ISBLANK($B61),"",VLOOKUP($B61,[1]список!$B$1:$H$544,5,0))</f>
        <v>КМС</v>
      </c>
      <c r="G61" s="51" t="str">
        <f>IF(ISBLANK($B61),"",VLOOKUP($B61,[1]список!$B$1:$H$544,6,0))</f>
        <v>Санкт-Петербург</v>
      </c>
      <c r="H61" s="145"/>
      <c r="I61" s="141">
        <v>1.5672569444444443E-3</v>
      </c>
      <c r="J61" s="141">
        <v>2.323761574074074E-3</v>
      </c>
      <c r="K61" s="141"/>
      <c r="L61" s="146"/>
      <c r="M61" s="142">
        <f>M60</f>
        <v>53.902503846168244</v>
      </c>
      <c r="N61" s="55"/>
      <c r="O61" s="56"/>
    </row>
    <row r="62" spans="1:17" ht="13.5" customHeight="1" x14ac:dyDescent="0.2">
      <c r="A62" s="47">
        <v>10</v>
      </c>
      <c r="B62" s="57">
        <v>33</v>
      </c>
      <c r="C62" s="49">
        <f>IF(ISBLANK($B62),"",VLOOKUP($B62,[1]список!$B$1:$G$544,2,0))</f>
        <v>10137306716</v>
      </c>
      <c r="D62" s="49" t="str">
        <f>IF(ISBLANK($B62),"",VLOOKUP($B62,[1]список!$B$1:$G$544,3,0))</f>
        <v>Клишов Николай</v>
      </c>
      <c r="E62" s="50">
        <f>IF(ISBLANK($B62),"",VLOOKUP($B62,[1]список!$B$1:$G$544,4,0))</f>
        <v>39955</v>
      </c>
      <c r="F62" s="50" t="str">
        <f>IF(ISBLANK($B62),"",VLOOKUP($B62,[1]список!$B$1:$H$544,5,0))</f>
        <v>2 СР</v>
      </c>
      <c r="G62" s="51" t="str">
        <f>IF(ISBLANK($B62),"",VLOOKUP($B62,[1]список!$B$1:$H$544,6,0))</f>
        <v>Санкт-Петербург</v>
      </c>
      <c r="H62" s="149"/>
      <c r="I62" s="140"/>
      <c r="J62" s="140"/>
      <c r="K62" s="140"/>
      <c r="L62" s="140"/>
      <c r="M62" s="142">
        <f>M60</f>
        <v>53.902503846168244</v>
      </c>
      <c r="N62" s="55"/>
      <c r="O62" s="56"/>
      <c r="Q62" s="16"/>
    </row>
    <row r="63" spans="1:17" ht="13.5" customHeight="1" thickBot="1" x14ac:dyDescent="0.25">
      <c r="A63" s="60">
        <v>10</v>
      </c>
      <c r="B63" s="61">
        <v>32</v>
      </c>
      <c r="C63" s="62">
        <f>IF(ISBLANK($B63),"",VLOOKUP($B63,[1]список!$B$1:$G$544,2,0))</f>
        <v>10137272259</v>
      </c>
      <c r="D63" s="62" t="str">
        <f>IF(ISBLANK($B63),"",VLOOKUP($B63,[1]список!$B$1:$G$544,3,0))</f>
        <v>Скорняков Борис</v>
      </c>
      <c r="E63" s="63">
        <f>IF(ISBLANK($B63),"",VLOOKUP($B63,[1]список!$B$1:$G$544,4,0))</f>
        <v>39956</v>
      </c>
      <c r="F63" s="63" t="str">
        <f>IF(ISBLANK($B63),"",VLOOKUP($B63,[1]список!$B$1:$H$544,5,0))</f>
        <v>2 СР</v>
      </c>
      <c r="G63" s="64" t="str">
        <f>IF(ISBLANK($B63),"",VLOOKUP($B63,[1]список!$B$1:$H$544,6,0))</f>
        <v>Санкт-Петербург</v>
      </c>
      <c r="H63" s="150"/>
      <c r="I63" s="143"/>
      <c r="J63" s="143"/>
      <c r="K63" s="143"/>
      <c r="L63" s="143"/>
      <c r="M63" s="144"/>
      <c r="N63" s="80"/>
      <c r="O63" s="68"/>
      <c r="Q63" s="16"/>
    </row>
    <row r="64" spans="1:17" ht="13.5" customHeight="1" thickBot="1" x14ac:dyDescent="0.25">
      <c r="A64" s="69">
        <v>11</v>
      </c>
      <c r="B64" s="84">
        <v>82</v>
      </c>
      <c r="C64" s="38">
        <f>IF(ISBLANK($B64),"",VLOOKUP($B64,[1]список!$B$1:$G$544,2,0))</f>
        <v>10106037350</v>
      </c>
      <c r="D64" s="38" t="str">
        <f>IF(ISBLANK($B64),"",VLOOKUP($B64,[1]список!$B$1:$G$544,3,0))</f>
        <v>Хворостов Богдан</v>
      </c>
      <c r="E64" s="39">
        <f>IF(ISBLANK($B64),"",VLOOKUP($B64,[1]список!$B$1:$G$544,4,0))</f>
        <v>39137</v>
      </c>
      <c r="F64" s="39" t="str">
        <f>IF(ISBLANK($B64),"",VLOOKUP($B64,[1]список!$B$1:$H$544,5,0))</f>
        <v>КМС</v>
      </c>
      <c r="G64" s="40" t="s">
        <v>65</v>
      </c>
      <c r="H64" s="135">
        <v>8.3168981481481473E-4</v>
      </c>
      <c r="I64" s="136">
        <f>I65-H64</f>
        <v>7.6824074074074088E-4</v>
      </c>
      <c r="J64" s="136">
        <f>J65-I65</f>
        <v>7.6534722222222217E-4</v>
      </c>
      <c r="K64" s="136">
        <f>L64-J65</f>
        <v>7.701967592592591E-4</v>
      </c>
      <c r="L64" s="137">
        <v>3.1354745370370369E-3</v>
      </c>
      <c r="M64" s="138">
        <f>$M$19/((L64*24))</f>
        <v>53.155165094774929</v>
      </c>
      <c r="N64" s="139" t="str">
        <f>IF(L64&lt;=TIMEVALUE("3:56,000"),"МСМК",IF(L64&lt;=TIMEVALUE("4:04,000"),"МС",IF(L64&lt;=TIMEVALUE("4:17,000"),"КМС",IF(L64&lt;=TIMEVALUE("4:27,000"),"1 СР",IF(L64&lt;=TIMEVALUE("4:37,000"),"2 СР",IF(L64&lt;=TIMEVALUE("4:47,000"),"3 СР",IF(L64&lt;=TIMEVALUE("4:57,000"),"1 сп.юн.р.")))))))</f>
        <v>2 СР</v>
      </c>
      <c r="O64" s="46"/>
      <c r="Q64" s="16"/>
    </row>
    <row r="65" spans="1:17" ht="13.5" customHeight="1" thickBot="1" x14ac:dyDescent="0.25">
      <c r="A65" s="47">
        <v>11</v>
      </c>
      <c r="B65" s="70">
        <v>84</v>
      </c>
      <c r="C65" s="49">
        <f>IF(ISBLANK($B65),"",VLOOKUP($B65,[1]список!$B$1:$G$544,2,0))</f>
        <v>10114922954</v>
      </c>
      <c r="D65" s="49" t="str">
        <f>IF(ISBLANK($B65),"",VLOOKUP($B65,[1]список!$B$1:$G$544,3,0))</f>
        <v>Колоколов Максим</v>
      </c>
      <c r="E65" s="50">
        <f>IF(ISBLANK($B65),"",VLOOKUP($B65,[1]список!$B$1:$G$544,4,0))</f>
        <v>39203</v>
      </c>
      <c r="F65" s="50" t="str">
        <f>IF(ISBLANK($B65),"",VLOOKUP($B65,[1]список!$B$1:$H$544,5,0))</f>
        <v>КМС</v>
      </c>
      <c r="G65" s="40" t="s">
        <v>65</v>
      </c>
      <c r="H65" s="140"/>
      <c r="I65" s="141">
        <v>1.5999305555555556E-3</v>
      </c>
      <c r="J65" s="141">
        <v>2.3652777777777778E-3</v>
      </c>
      <c r="K65" s="140"/>
      <c r="L65" s="140"/>
      <c r="M65" s="142">
        <f>M64</f>
        <v>53.155165094774929</v>
      </c>
      <c r="N65" s="55"/>
      <c r="O65" s="56"/>
      <c r="Q65" s="16"/>
    </row>
    <row r="66" spans="1:17" ht="13.5" customHeight="1" thickBot="1" x14ac:dyDescent="0.25">
      <c r="A66" s="47">
        <v>11</v>
      </c>
      <c r="B66" s="70">
        <v>87</v>
      </c>
      <c r="C66" s="49">
        <f>IF(ISBLANK($B66),"",VLOOKUP($B66,[1]список!$B$1:$G$544,2,0))</f>
        <v>10116160918</v>
      </c>
      <c r="D66" s="49" t="str">
        <f>IF(ISBLANK($B66),"",VLOOKUP($B66,[1]список!$B$1:$G$544,3,0))</f>
        <v>Гарбуз Даниил</v>
      </c>
      <c r="E66" s="50">
        <f>IF(ISBLANK($B66),"",VLOOKUP($B66,[1]список!$B$1:$G$544,4,0))</f>
        <v>39643</v>
      </c>
      <c r="F66" s="50" t="str">
        <f>IF(ISBLANK($B66),"",VLOOKUP($B66,[1]список!$B$1:$H$544,5,0))</f>
        <v>КМС</v>
      </c>
      <c r="G66" s="40" t="s">
        <v>65</v>
      </c>
      <c r="H66" s="140"/>
      <c r="I66" s="140"/>
      <c r="J66" s="140"/>
      <c r="K66" s="140"/>
      <c r="L66" s="140"/>
      <c r="M66" s="142">
        <f>M64</f>
        <v>53.155165094774929</v>
      </c>
      <c r="N66" s="55"/>
      <c r="O66" s="56"/>
      <c r="Q66" s="16"/>
    </row>
    <row r="67" spans="1:17" ht="13.5" customHeight="1" thickBot="1" x14ac:dyDescent="0.25">
      <c r="A67" s="47">
        <v>11</v>
      </c>
      <c r="B67" s="70">
        <v>88</v>
      </c>
      <c r="C67" s="86">
        <f>IF(ISBLANK($B67),"",VLOOKUP($B67,[1]список!$B$1:$G$544,2,0))</f>
        <v>10141475288</v>
      </c>
      <c r="D67" s="86" t="str">
        <f>IF(ISBLANK($B67),"",VLOOKUP($B67,[1]список!$B$1:$G$544,3,0))</f>
        <v>Григорьев Артемий</v>
      </c>
      <c r="E67" s="87">
        <f>IF(ISBLANK($B67),"",VLOOKUP($B67,[1]список!$B$1:$G$544,4,0))</f>
        <v>39482</v>
      </c>
      <c r="F67" s="87" t="str">
        <f>IF(ISBLANK($B67),"",VLOOKUP($B67,[1]список!$B$1:$H$544,5,0))</f>
        <v>КМС</v>
      </c>
      <c r="G67" s="40" t="s">
        <v>65</v>
      </c>
      <c r="H67" s="140"/>
      <c r="I67" s="140"/>
      <c r="J67" s="140"/>
      <c r="K67" s="140"/>
      <c r="L67" s="140"/>
      <c r="M67" s="142">
        <f>M64</f>
        <v>53.155165094774929</v>
      </c>
      <c r="N67" s="89"/>
      <c r="O67" s="56"/>
    </row>
    <row r="68" spans="1:17" ht="13.5" customHeight="1" thickBot="1" x14ac:dyDescent="0.25">
      <c r="A68" s="90">
        <v>12</v>
      </c>
      <c r="B68" s="91">
        <v>79</v>
      </c>
      <c r="C68" s="38">
        <f>IF(ISBLANK($B68),"",VLOOKUP($B68,[1]список!$B$1:$G$544,2,0))</f>
        <v>10110342433</v>
      </c>
      <c r="D68" s="38" t="str">
        <f>IF(ISBLANK($B68),"",VLOOKUP($B68,[1]список!$B$1:$G$544,3,0))</f>
        <v>Кирсанов Алексей</v>
      </c>
      <c r="E68" s="39">
        <f>IF(ISBLANK($B68),"",VLOOKUP($B68,[1]список!$B$1:$G$544,4,0))</f>
        <v>38775</v>
      </c>
      <c r="F68" s="39" t="str">
        <f>IF(ISBLANK($B68),"",VLOOKUP($B68,[1]список!$B$1:$H$544,5,0))</f>
        <v>КМС</v>
      </c>
      <c r="G68" s="40" t="s">
        <v>65</v>
      </c>
      <c r="H68" s="135">
        <v>8.3271990740740735E-4</v>
      </c>
      <c r="I68" s="136">
        <f>I69-H68</f>
        <v>7.8248842592592595E-4</v>
      </c>
      <c r="J68" s="136">
        <f>J69-I69</f>
        <v>7.8693287037037035E-4</v>
      </c>
      <c r="K68" s="136">
        <f>L68-J69</f>
        <v>7.736342592592595E-4</v>
      </c>
      <c r="L68" s="137">
        <v>3.1757754629629631E-3</v>
      </c>
      <c r="M68" s="138">
        <f>$M$19/((L68*24))</f>
        <v>52.480620437557171</v>
      </c>
      <c r="N68" s="139" t="str">
        <f>IF(L68&lt;=TIMEVALUE("3:56,000"),"МСМК",IF(L68&lt;=TIMEVALUE("4:04,000"),"МС",IF(L68&lt;=TIMEVALUE("4:17,000"),"КМС",IF(L68&lt;=TIMEVALUE("4:27,000"),"1 СР",IF(L68&lt;=TIMEVALUE("4:37,000"),"2 СР",IF(L68&lt;=TIMEVALUE("4:47,000"),"3 СР",IF(L68&lt;=TIMEVALUE("4:57,000"),"1 сп.юн.р.")))))))</f>
        <v>2 СР</v>
      </c>
      <c r="O68" s="46"/>
      <c r="Q68" s="16"/>
    </row>
    <row r="69" spans="1:17" ht="13.5" customHeight="1" thickBot="1" x14ac:dyDescent="0.25">
      <c r="A69" s="92">
        <v>12</v>
      </c>
      <c r="B69" s="93">
        <v>83</v>
      </c>
      <c r="C69" s="49">
        <f>IF(ISBLANK($B69),"",VLOOKUP($B69,[1]список!$B$1:$G$544,2,0))</f>
        <v>10116165463</v>
      </c>
      <c r="D69" s="49" t="str">
        <f>IF(ISBLANK($B69),"",VLOOKUP($B69,[1]список!$B$1:$G$544,3,0))</f>
        <v>Грамарчук Трофим</v>
      </c>
      <c r="E69" s="50">
        <f>IF(ISBLANK($B69),"",VLOOKUP($B69,[1]список!$B$1:$G$544,4,0))</f>
        <v>39120</v>
      </c>
      <c r="F69" s="50" t="str">
        <f>IF(ISBLANK($B69),"",VLOOKUP($B69,[1]список!$B$1:$H$544,5,0))</f>
        <v>КМС</v>
      </c>
      <c r="G69" s="40" t="s">
        <v>65</v>
      </c>
      <c r="H69" s="140"/>
      <c r="I69" s="141">
        <v>1.6152083333333333E-3</v>
      </c>
      <c r="J69" s="141">
        <v>2.4021412037037036E-3</v>
      </c>
      <c r="K69" s="140"/>
      <c r="L69" s="140"/>
      <c r="M69" s="142">
        <f>M68</f>
        <v>52.480620437557171</v>
      </c>
      <c r="N69" s="55"/>
      <c r="O69" s="56"/>
      <c r="Q69" s="16"/>
    </row>
    <row r="70" spans="1:17" ht="13.5" customHeight="1" thickBot="1" x14ac:dyDescent="0.25">
      <c r="A70" s="92">
        <v>12</v>
      </c>
      <c r="B70" s="93">
        <v>85</v>
      </c>
      <c r="C70" s="49">
        <f>IF(ISBLANK($B70),"",VLOOKUP($B70,[1]список!$B$1:$G$544,2,0))</f>
        <v>10105798688</v>
      </c>
      <c r="D70" s="49" t="str">
        <f>IF(ISBLANK($B70),"",VLOOKUP($B70,[1]список!$B$1:$G$544,3,0))</f>
        <v>Рябов Александр</v>
      </c>
      <c r="E70" s="50">
        <f>IF(ISBLANK($B70),"",VLOOKUP($B70,[1]список!$B$1:$G$544,4,0))</f>
        <v>39205</v>
      </c>
      <c r="F70" s="50" t="str">
        <f>IF(ISBLANK($B70),"",VLOOKUP($B70,[1]список!$B$1:$H$544,5,0))</f>
        <v>КМС</v>
      </c>
      <c r="G70" s="40" t="s">
        <v>65</v>
      </c>
      <c r="H70" s="140"/>
      <c r="I70" s="140"/>
      <c r="J70" s="140"/>
      <c r="K70" s="140"/>
      <c r="L70" s="140"/>
      <c r="M70" s="142">
        <f>M68</f>
        <v>52.480620437557171</v>
      </c>
      <c r="N70" s="55"/>
      <c r="O70" s="56"/>
      <c r="Q70" s="16"/>
    </row>
    <row r="71" spans="1:17" ht="13.5" customHeight="1" thickBot="1" x14ac:dyDescent="0.25">
      <c r="A71" s="94">
        <v>12</v>
      </c>
      <c r="B71" s="95">
        <v>86</v>
      </c>
      <c r="C71" s="62">
        <f>IF(ISBLANK($B71),"",VLOOKUP($B71,[1]список!$B$1:$G$544,2,0))</f>
        <v>10114921540</v>
      </c>
      <c r="D71" s="62" t="str">
        <f>IF(ISBLANK($B71),"",VLOOKUP($B71,[1]список!$B$1:$G$544,3,0))</f>
        <v>Волков Никита</v>
      </c>
      <c r="E71" s="63">
        <f>IF(ISBLANK($B71),"",VLOOKUP($B71,[1]список!$B$1:$G$544,4,0))</f>
        <v>39736</v>
      </c>
      <c r="F71" s="63" t="str">
        <f>IF(ISBLANK($B71),"",VLOOKUP($B71,[1]список!$B$1:$H$544,5,0))</f>
        <v>КМС</v>
      </c>
      <c r="G71" s="40" t="s">
        <v>65</v>
      </c>
      <c r="H71" s="143"/>
      <c r="I71" s="143"/>
      <c r="J71" s="143"/>
      <c r="K71" s="143"/>
      <c r="L71" s="143"/>
      <c r="M71" s="144">
        <f>M68</f>
        <v>52.480620437557171</v>
      </c>
      <c r="N71" s="80"/>
      <c r="O71" s="68"/>
      <c r="Q71" s="16"/>
    </row>
    <row r="72" spans="1:17" ht="13.5" customHeight="1" x14ac:dyDescent="0.2">
      <c r="A72" s="69">
        <v>13</v>
      </c>
      <c r="B72" s="96">
        <v>212</v>
      </c>
      <c r="C72" s="71">
        <f>IF(ISBLANK($B72),"",VLOOKUP($B72,[1]список!$B$1:$G$544,2,0))</f>
        <v>10082231934</v>
      </c>
      <c r="D72" s="71" t="str">
        <f>IF(ISBLANK($B72),"",VLOOKUP($B72,[1]список!$B$1:$G$544,3,0))</f>
        <v>Чулков Алексей</v>
      </c>
      <c r="E72" s="72">
        <f>IF(ISBLANK($B72),"",VLOOKUP($B72,[1]список!$B$1:$G$544,4,0))</f>
        <v>38705</v>
      </c>
      <c r="F72" s="72" t="str">
        <f>IF(ISBLANK($B72),"",VLOOKUP($B72,[1]список!$B$1:$H$544,5,0))</f>
        <v>КМС</v>
      </c>
      <c r="G72" s="73" t="str">
        <f>IF(ISBLANK($B72),"",VLOOKUP($B72,[1]список!$B$1:$H$544,6,0))</f>
        <v>Омская область</v>
      </c>
      <c r="H72" s="145">
        <v>8.3800925925925915E-4</v>
      </c>
      <c r="I72" s="141">
        <f>I73-H72</f>
        <v>7.6037037037037034E-4</v>
      </c>
      <c r="J72" s="141">
        <f>J73-I73</f>
        <v>7.8157407407407451E-4</v>
      </c>
      <c r="K72" s="141">
        <f>L72-J73</f>
        <v>8.0491898148148111E-4</v>
      </c>
      <c r="L72" s="146">
        <v>3.1848726851851851E-3</v>
      </c>
      <c r="M72" s="147">
        <f>$M$19/((L72*24))</f>
        <v>52.330715586194863</v>
      </c>
      <c r="N72" s="148" t="str">
        <f>IF(L72&lt;=TIMEVALUE("3:56,000"),"МСМК",IF(L72&lt;=TIMEVALUE("4:04,000"),"МС",IF(L72&lt;=TIMEVALUE("4:17,000"),"КМС",IF(L72&lt;=TIMEVALUE("4:27,000"),"1 СР",IF(L72&lt;=TIMEVALUE("4:37,000"),"2 СР",IF(L72&lt;=TIMEVALUE("4:47,000"),"3 СР",IF(L72&lt;=TIMEVALUE("4:57,000"),"1 сп.юн.р.")))))))</f>
        <v>2 СР</v>
      </c>
      <c r="O72" s="78"/>
      <c r="Q72" s="16"/>
    </row>
    <row r="73" spans="1:17" ht="13.5" customHeight="1" x14ac:dyDescent="0.2">
      <c r="A73" s="47">
        <v>13</v>
      </c>
      <c r="B73" s="48">
        <v>213</v>
      </c>
      <c r="C73" s="49">
        <f>IF(ISBLANK($B73),"",VLOOKUP($B73,[1]список!$B$1:$G$544,2,0))</f>
        <v>10082231732</v>
      </c>
      <c r="D73" s="49" t="str">
        <f>IF(ISBLANK($B73),"",VLOOKUP($B73,[1]список!$B$1:$G$544,3,0))</f>
        <v>Базаев Артем</v>
      </c>
      <c r="E73" s="50">
        <f>IF(ISBLANK($B73),"",VLOOKUP($B73,[1]список!$B$1:$G$544,4,0))</f>
        <v>38437</v>
      </c>
      <c r="F73" s="50" t="str">
        <f>IF(ISBLANK($B73),"",VLOOKUP($B73,[1]список!$B$1:$H$544,5,0))</f>
        <v>КМС</v>
      </c>
      <c r="G73" s="51" t="str">
        <f>IF(ISBLANK($B73),"",VLOOKUP($B73,[1]список!$B$1:$H$544,6,0))</f>
        <v>Омская область</v>
      </c>
      <c r="H73" s="140"/>
      <c r="I73" s="141">
        <v>1.5983796296296295E-3</v>
      </c>
      <c r="J73" s="141">
        <v>2.379953703703704E-3</v>
      </c>
      <c r="K73" s="140"/>
      <c r="L73" s="149"/>
      <c r="M73" s="142">
        <f>M72</f>
        <v>52.330715586194863</v>
      </c>
      <c r="N73" s="55"/>
      <c r="O73" s="56"/>
    </row>
    <row r="74" spans="1:17" ht="13.5" customHeight="1" x14ac:dyDescent="0.2">
      <c r="A74" s="47">
        <v>13</v>
      </c>
      <c r="B74" s="48">
        <v>214</v>
      </c>
      <c r="C74" s="49">
        <f>IF(ISBLANK($B74),"",VLOOKUP($B74,[1]список!$B$1:$G$544,2,0))</f>
        <v>10083179096</v>
      </c>
      <c r="D74" s="49" t="str">
        <f>IF(ISBLANK($B74),"",VLOOKUP($B74,[1]список!$B$1:$G$544,3,0))</f>
        <v>Шеляг Валерий</v>
      </c>
      <c r="E74" s="50">
        <f>IF(ISBLANK($B74),"",VLOOKUP($B74,[1]список!$B$1:$G$544,4,0))</f>
        <v>38485</v>
      </c>
      <c r="F74" s="50" t="str">
        <f>IF(ISBLANK($B74),"",VLOOKUP($B74,[1]список!$B$1:$H$544,5,0))</f>
        <v>КМС</v>
      </c>
      <c r="G74" s="97" t="str">
        <f>IF(ISBLANK($B74),"",VLOOKUP($B74,[1]список!$B$1:$H$544,6,0))</f>
        <v>Омская область</v>
      </c>
      <c r="H74" s="52"/>
      <c r="I74" s="52"/>
      <c r="J74" s="52"/>
      <c r="K74" s="52"/>
      <c r="L74" s="52"/>
      <c r="M74" s="98">
        <f>M72</f>
        <v>52.330715586194863</v>
      </c>
      <c r="N74" s="55"/>
      <c r="O74" s="56"/>
      <c r="Q74" s="1"/>
    </row>
    <row r="75" spans="1:17" ht="13.5" customHeight="1" thickBot="1" x14ac:dyDescent="0.25">
      <c r="A75" s="60">
        <v>13</v>
      </c>
      <c r="B75" s="99">
        <v>215</v>
      </c>
      <c r="C75" s="62">
        <f>IF(ISBLANK($B75),"",VLOOKUP($B75,[1]список!$B$1:$G$544,2,0))</f>
        <v>10083185867</v>
      </c>
      <c r="D75" s="62" t="str">
        <f>IF(ISBLANK($B75),"",VLOOKUP($B75,[1]список!$B$1:$G$544,3,0))</f>
        <v>Гергель Максим</v>
      </c>
      <c r="E75" s="63">
        <f>IF(ISBLANK($B75),"",VLOOKUP($B75,[1]список!$B$1:$G$544,4,0))</f>
        <v>38682</v>
      </c>
      <c r="F75" s="63" t="str">
        <f>IF(ISBLANK($B75),"",VLOOKUP($B75,[1]список!$B$1:$H$544,5,0))</f>
        <v>КМС</v>
      </c>
      <c r="G75" s="100" t="str">
        <f>IF(ISBLANK($B75),"",VLOOKUP($B75,[1]список!$B$1:$H$544,6,0))</f>
        <v>Омская область</v>
      </c>
      <c r="H75" s="65"/>
      <c r="I75" s="65"/>
      <c r="J75" s="65"/>
      <c r="K75" s="65"/>
      <c r="L75" s="65"/>
      <c r="M75" s="101"/>
      <c r="N75" s="80"/>
      <c r="O75" s="68"/>
      <c r="Q75" s="16"/>
    </row>
    <row r="76" spans="1:17" ht="9" customHeight="1" thickBot="1" x14ac:dyDescent="0.25">
      <c r="A76" s="102"/>
      <c r="B76" s="103"/>
      <c r="C76" s="103"/>
      <c r="D76" s="104"/>
      <c r="E76" s="105"/>
      <c r="F76" s="106"/>
      <c r="G76" s="107"/>
      <c r="H76" s="108"/>
      <c r="I76" s="108"/>
      <c r="J76" s="108"/>
      <c r="K76" s="108"/>
      <c r="L76" s="108"/>
      <c r="M76" s="109"/>
      <c r="N76" s="110"/>
      <c r="O76" s="111"/>
      <c r="Q76" s="16"/>
    </row>
    <row r="77" spans="1:17" ht="15.75" thickTop="1" x14ac:dyDescent="0.2">
      <c r="A77" s="156" t="s">
        <v>44</v>
      </c>
      <c r="B77" s="157"/>
      <c r="C77" s="157"/>
      <c r="D77" s="157"/>
      <c r="E77" s="112"/>
      <c r="F77" s="112"/>
      <c r="G77" s="112" t="s">
        <v>45</v>
      </c>
      <c r="H77" s="112"/>
      <c r="I77" s="112"/>
      <c r="J77" s="112"/>
      <c r="K77" s="112"/>
      <c r="L77" s="112"/>
      <c r="M77" s="112"/>
      <c r="N77" s="112"/>
      <c r="O77" s="113"/>
      <c r="Q77" s="1"/>
    </row>
    <row r="78" spans="1:17" x14ac:dyDescent="0.2">
      <c r="A78" s="114" t="s">
        <v>46</v>
      </c>
      <c r="B78" s="114"/>
      <c r="C78" s="115"/>
      <c r="D78" s="114"/>
      <c r="E78" s="116"/>
      <c r="F78" s="114"/>
      <c r="G78" s="117" t="s">
        <v>47</v>
      </c>
      <c r="H78" s="118">
        <v>5</v>
      </c>
      <c r="I78" s="119" t="s">
        <v>48</v>
      </c>
      <c r="J78" s="118">
        <f>COUNTIF(F13:F91,"ЗМС")</f>
        <v>0</v>
      </c>
      <c r="K78" s="120"/>
      <c r="L78" s="121"/>
      <c r="M78" s="122"/>
      <c r="N78" s="123"/>
      <c r="O78" s="124"/>
      <c r="Q78" s="1"/>
    </row>
    <row r="79" spans="1:17" x14ac:dyDescent="0.2">
      <c r="A79" s="114" t="s">
        <v>49</v>
      </c>
      <c r="B79" s="114"/>
      <c r="C79" s="125"/>
      <c r="D79" s="114"/>
      <c r="E79" s="116"/>
      <c r="F79" s="114"/>
      <c r="G79" s="126" t="s">
        <v>50</v>
      </c>
      <c r="H79" s="118">
        <v>13</v>
      </c>
      <c r="I79" s="119" t="s">
        <v>51</v>
      </c>
      <c r="J79" s="118">
        <f>COUNTIF(F13:F91,"МСМК")</f>
        <v>0</v>
      </c>
      <c r="K79" s="120"/>
      <c r="L79" s="121"/>
      <c r="M79" s="122"/>
      <c r="N79" s="123"/>
      <c r="O79" s="124"/>
    </row>
    <row r="80" spans="1:17" x14ac:dyDescent="0.2">
      <c r="A80" s="114"/>
      <c r="B80" s="114"/>
      <c r="C80" s="125"/>
      <c r="D80" s="114"/>
      <c r="E80" s="116"/>
      <c r="F80" s="114"/>
      <c r="G80" s="126" t="s">
        <v>52</v>
      </c>
      <c r="H80" s="118">
        <v>13</v>
      </c>
      <c r="I80" s="119" t="s">
        <v>53</v>
      </c>
      <c r="J80" s="118">
        <f>COUNTIF(F13:F91,"МС")</f>
        <v>8</v>
      </c>
      <c r="K80" s="120"/>
      <c r="L80" s="121"/>
      <c r="M80" s="122"/>
      <c r="N80" s="123"/>
      <c r="O80" s="124"/>
    </row>
    <row r="81" spans="1:15" x14ac:dyDescent="0.2">
      <c r="A81" s="114"/>
      <c r="B81" s="114"/>
      <c r="C81" s="125"/>
      <c r="D81" s="114"/>
      <c r="E81" s="116"/>
      <c r="F81" s="114"/>
      <c r="G81" s="126" t="s">
        <v>54</v>
      </c>
      <c r="H81" s="118">
        <v>13</v>
      </c>
      <c r="I81" s="119" t="s">
        <v>55</v>
      </c>
      <c r="J81" s="118">
        <f>COUNTIF(F13:F91,"КМС")</f>
        <v>39</v>
      </c>
      <c r="K81" s="120"/>
      <c r="L81" s="121"/>
      <c r="M81" s="122"/>
      <c r="N81" s="123"/>
      <c r="O81" s="124"/>
    </row>
    <row r="82" spans="1:15" x14ac:dyDescent="0.2">
      <c r="A82" s="114"/>
      <c r="B82" s="114"/>
      <c r="C82" s="125"/>
      <c r="D82" s="114"/>
      <c r="E82" s="116"/>
      <c r="F82" s="114"/>
      <c r="G82" s="126" t="s">
        <v>56</v>
      </c>
      <c r="H82" s="118">
        <f>COUNTIF(B13:B91,"НФ")</f>
        <v>0</v>
      </c>
      <c r="I82" s="119" t="s">
        <v>57</v>
      </c>
      <c r="J82" s="118">
        <f>COUNTIF(F13:F91,"1 СР")</f>
        <v>2</v>
      </c>
      <c r="K82" s="120"/>
      <c r="L82" s="121"/>
      <c r="M82" s="122"/>
      <c r="N82" s="123"/>
      <c r="O82" s="124"/>
    </row>
    <row r="83" spans="1:15" x14ac:dyDescent="0.2">
      <c r="A83" s="114"/>
      <c r="B83" s="114"/>
      <c r="C83" s="125"/>
      <c r="D83" s="114"/>
      <c r="E83" s="116"/>
      <c r="F83" s="114"/>
      <c r="G83" s="126" t="s">
        <v>58</v>
      </c>
      <c r="H83" s="118">
        <f>COUNTIF(B13:B91,"ДСКВ")</f>
        <v>0</v>
      </c>
      <c r="I83" s="127" t="s">
        <v>59</v>
      </c>
      <c r="J83" s="118">
        <f>COUNTIF(F13:F91,"2 СР")</f>
        <v>4</v>
      </c>
      <c r="K83" s="120"/>
      <c r="L83" s="121"/>
      <c r="M83" s="122"/>
      <c r="N83" s="123"/>
      <c r="O83" s="124"/>
    </row>
    <row r="84" spans="1:15" x14ac:dyDescent="0.2">
      <c r="A84" s="114"/>
      <c r="B84" s="114"/>
      <c r="C84" s="125"/>
      <c r="D84" s="114"/>
      <c r="E84" s="116"/>
      <c r="F84" s="114"/>
      <c r="G84" s="126" t="s">
        <v>60</v>
      </c>
      <c r="H84" s="118">
        <f>COUNTIF(B13:B91,"НС")</f>
        <v>0</v>
      </c>
      <c r="I84" s="127" t="s">
        <v>61</v>
      </c>
      <c r="J84" s="118">
        <f>COUNTIF(F13:F91,"3 СР")</f>
        <v>0</v>
      </c>
      <c r="K84" s="120"/>
      <c r="L84" s="121"/>
      <c r="M84" s="122"/>
      <c r="N84" s="123"/>
      <c r="O84" s="124"/>
    </row>
    <row r="85" spans="1:15" ht="15" x14ac:dyDescent="0.2">
      <c r="A85" s="165"/>
      <c r="B85" s="166"/>
      <c r="C85" s="166"/>
      <c r="D85" s="166"/>
      <c r="E85" s="166" t="s">
        <v>62</v>
      </c>
      <c r="F85" s="166"/>
      <c r="G85" s="166"/>
      <c r="H85" s="166" t="s">
        <v>63</v>
      </c>
      <c r="I85" s="166"/>
      <c r="J85" s="166"/>
      <c r="K85" s="166"/>
      <c r="L85" s="166"/>
      <c r="M85" s="166" t="s">
        <v>64</v>
      </c>
      <c r="N85" s="166"/>
      <c r="O85" s="167"/>
    </row>
    <row r="86" spans="1:15" x14ac:dyDescent="0.2">
      <c r="A86" s="158"/>
      <c r="B86" s="159"/>
      <c r="C86" s="159"/>
      <c r="D86" s="159"/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161"/>
    </row>
    <row r="87" spans="1:15" x14ac:dyDescent="0.2">
      <c r="A87" s="128"/>
      <c r="B87" s="129"/>
      <c r="C87" s="129"/>
      <c r="D87" s="129"/>
      <c r="E87" s="130"/>
      <c r="F87" s="129"/>
      <c r="G87" s="129"/>
      <c r="H87" s="131"/>
      <c r="I87" s="131"/>
      <c r="J87" s="131"/>
      <c r="K87" s="131"/>
      <c r="L87" s="131"/>
      <c r="M87" s="129"/>
      <c r="N87" s="129"/>
      <c r="O87" s="132"/>
    </row>
    <row r="88" spans="1:15" x14ac:dyDescent="0.2">
      <c r="A88" s="128"/>
      <c r="B88" s="129"/>
      <c r="C88" s="129"/>
      <c r="D88" s="129"/>
      <c r="E88" s="130"/>
      <c r="F88" s="129"/>
      <c r="G88" s="129"/>
      <c r="H88" s="131"/>
      <c r="I88" s="131"/>
      <c r="J88" s="131"/>
      <c r="K88" s="131"/>
      <c r="L88" s="131"/>
      <c r="M88" s="129"/>
      <c r="N88" s="129"/>
      <c r="O88" s="132"/>
    </row>
    <row r="89" spans="1:15" x14ac:dyDescent="0.2">
      <c r="A89" s="128"/>
      <c r="B89" s="129"/>
      <c r="C89" s="129"/>
      <c r="D89" s="129"/>
      <c r="E89" s="130"/>
      <c r="F89" s="129"/>
      <c r="G89" s="129"/>
      <c r="H89" s="131"/>
      <c r="I89" s="131"/>
      <c r="J89" s="131"/>
      <c r="K89" s="131"/>
      <c r="L89" s="131"/>
      <c r="M89" s="129"/>
      <c r="N89" s="129"/>
      <c r="O89" s="132"/>
    </row>
    <row r="90" spans="1:15" x14ac:dyDescent="0.2">
      <c r="A90" s="128"/>
      <c r="B90" s="129"/>
      <c r="C90" s="129"/>
      <c r="D90" s="129"/>
      <c r="E90" s="130"/>
      <c r="F90" s="129"/>
      <c r="G90" s="129"/>
      <c r="H90" s="131"/>
      <c r="I90" s="131"/>
      <c r="J90" s="131"/>
      <c r="K90" s="131"/>
      <c r="L90" s="131"/>
      <c r="M90" s="133"/>
      <c r="N90" s="134"/>
      <c r="O90" s="132"/>
    </row>
    <row r="91" spans="1:15" ht="13.5" thickBot="1" x14ac:dyDescent="0.25">
      <c r="A91" s="162" t="s">
        <v>7</v>
      </c>
      <c r="B91" s="163"/>
      <c r="C91" s="163"/>
      <c r="D91" s="163"/>
      <c r="E91" s="163" t="str">
        <f>G17</f>
        <v>Михайлова И.Н. (ВК, Санкт-Петербург)</v>
      </c>
      <c r="F91" s="163"/>
      <c r="G91" s="163"/>
      <c r="H91" s="163" t="str">
        <f>G18</f>
        <v>Валова А.С. (ВК, Санкт-Петербург)</v>
      </c>
      <c r="I91" s="163"/>
      <c r="J91" s="163"/>
      <c r="K91" s="163"/>
      <c r="L91" s="163"/>
      <c r="M91" s="163" t="str">
        <f>G19</f>
        <v>Соловьев Г.Н. (ВК, Санкт-Петербург)</v>
      </c>
      <c r="N91" s="163"/>
      <c r="O91" s="164"/>
    </row>
    <row r="92" spans="1:15" ht="13.5" thickTop="1" x14ac:dyDescent="0.2"/>
  </sheetData>
  <mergeCells count="42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A77:D77"/>
    <mergeCell ref="A86:E86"/>
    <mergeCell ref="F86:O86"/>
    <mergeCell ref="A91:D91"/>
    <mergeCell ref="E91:G91"/>
    <mergeCell ref="H91:L91"/>
    <mergeCell ref="M91:O91"/>
    <mergeCell ref="A85:D85"/>
    <mergeCell ref="E85:G85"/>
    <mergeCell ref="H85:L85"/>
    <mergeCell ref="M85:O85"/>
  </mergeCells>
  <pageMargins left="0.23622047244094488" right="0.23622047244094488" top="0.26250000000000001" bottom="0.37239583333333331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юниоры 17-18 (2)</vt:lpstr>
      <vt:lpstr>'ком гонка юниоры 17-18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2023-06-08T16:01:03Z</dcterms:created>
  <dcterms:modified xsi:type="dcterms:W3CDTF">2023-06-09T17:03:26Z</dcterms:modified>
</cp:coreProperties>
</file>