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015"/>
  </bookViews>
  <sheets>
    <sheet name="ком спринт юниорки 17-18 кв (2" sheetId="1" r:id="rId1"/>
  </sheets>
  <externalReferences>
    <externalReference r:id="rId2"/>
  </externalReferences>
  <definedNames>
    <definedName name="_xlnm.Print_Area" localSheetId="0">'ком спринт юниорки 17-18 кв (2'!$A$1:$N$60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J38" i="1"/>
  <c r="I38" i="1"/>
  <c r="J60" i="1"/>
  <c r="G60" i="1"/>
  <c r="D60" i="1"/>
  <c r="H52" i="1"/>
  <c r="H51" i="1"/>
  <c r="H50" i="1"/>
  <c r="N43" i="1"/>
  <c r="L43" i="1"/>
  <c r="K43" i="1"/>
  <c r="G43" i="1"/>
  <c r="F43" i="1"/>
  <c r="E43" i="1"/>
  <c r="D43" i="1"/>
  <c r="C43" i="1"/>
  <c r="A43" i="1"/>
  <c r="N42" i="1"/>
  <c r="L42" i="1"/>
  <c r="G42" i="1"/>
  <c r="F42" i="1"/>
  <c r="E42" i="1"/>
  <c r="D42" i="1"/>
  <c r="C42" i="1"/>
  <c r="A42" i="1"/>
  <c r="M41" i="1"/>
  <c r="J41" i="1"/>
  <c r="I41" i="1"/>
  <c r="G41" i="1"/>
  <c r="F41" i="1"/>
  <c r="E41" i="1"/>
  <c r="D41" i="1"/>
  <c r="C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A36" i="1"/>
  <c r="M35" i="1"/>
  <c r="L35" i="1"/>
  <c r="J35" i="1"/>
  <c r="I35" i="1"/>
  <c r="G35" i="1"/>
  <c r="F35" i="1"/>
  <c r="E35" i="1"/>
  <c r="D35" i="1"/>
  <c r="C35" i="1"/>
  <c r="G34" i="1"/>
  <c r="F34" i="1"/>
  <c r="E34" i="1"/>
  <c r="D34" i="1"/>
  <c r="C34" i="1"/>
  <c r="A34" i="1"/>
  <c r="G33" i="1"/>
  <c r="F33" i="1"/>
  <c r="E33" i="1"/>
  <c r="D33" i="1"/>
  <c r="C33" i="1"/>
  <c r="G32" i="1"/>
  <c r="F32" i="1"/>
  <c r="J50" i="1" s="1"/>
  <c r="E32" i="1"/>
  <c r="D32" i="1"/>
  <c r="C32" i="1"/>
  <c r="A32" i="1"/>
  <c r="M31" i="1"/>
  <c r="L31" i="1"/>
  <c r="J31" i="1"/>
  <c r="I31" i="1"/>
  <c r="G31" i="1"/>
  <c r="F31" i="1"/>
  <c r="E31" i="1"/>
  <c r="D31" i="1"/>
  <c r="C31" i="1"/>
  <c r="G30" i="1"/>
  <c r="F30" i="1"/>
  <c r="E30" i="1"/>
  <c r="D30" i="1"/>
  <c r="C30" i="1"/>
  <c r="A30" i="1"/>
  <c r="G29" i="1"/>
  <c r="F29" i="1"/>
  <c r="E29" i="1"/>
  <c r="D29" i="1"/>
  <c r="C29" i="1"/>
  <c r="G28" i="1"/>
  <c r="F28" i="1"/>
  <c r="E28" i="1"/>
  <c r="D28" i="1"/>
  <c r="C28" i="1"/>
  <c r="A28" i="1"/>
  <c r="M27" i="1"/>
  <c r="L27" i="1"/>
  <c r="J27" i="1"/>
  <c r="I27" i="1"/>
  <c r="G27" i="1"/>
  <c r="F27" i="1"/>
  <c r="E27" i="1"/>
  <c r="D27" i="1"/>
  <c r="C27" i="1"/>
  <c r="G26" i="1"/>
  <c r="F26" i="1"/>
  <c r="E26" i="1"/>
  <c r="D26" i="1"/>
  <c r="C26" i="1"/>
  <c r="A26" i="1"/>
  <c r="G25" i="1"/>
  <c r="F25" i="1"/>
  <c r="E25" i="1"/>
  <c r="D25" i="1"/>
  <c r="C25" i="1"/>
  <c r="G24" i="1"/>
  <c r="F24" i="1"/>
  <c r="E24" i="1"/>
  <c r="D24" i="1"/>
  <c r="C24" i="1"/>
  <c r="A24" i="1"/>
  <c r="M23" i="1"/>
  <c r="L23" i="1"/>
  <c r="J23" i="1"/>
  <c r="I23" i="1"/>
  <c r="G23" i="1"/>
  <c r="F23" i="1"/>
  <c r="J49" i="1" s="1"/>
  <c r="E23" i="1"/>
  <c r="D23" i="1"/>
  <c r="C23" i="1"/>
  <c r="J51" i="1" l="1"/>
  <c r="J46" i="1"/>
  <c r="J47" i="1"/>
  <c r="J52" i="1"/>
  <c r="J48" i="1"/>
</calcChain>
</file>

<file path=xl/sharedStrings.xml><?xml version="1.0" encoding="utf-8"?>
<sst xmlns="http://schemas.openxmlformats.org/spreadsheetml/2006/main" count="75" uniqueCount="67">
  <si>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</si>
  <si>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</si>
  <si>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</si>
  <si>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</si>
  <si>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</si>
  <si>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</si>
  <si>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командный спринт</t>
  </si>
  <si>
    <t>Юниорки 17-18 лет</t>
  </si>
  <si>
    <t>МЕСТО ПРОВЕДЕНИЯ: г. Санкт-Петербург</t>
  </si>
  <si>
    <t>НАЧАЛО ГОНКИ:</t>
  </si>
  <si>
    <t>№ ВРВС: 0080441611Я</t>
  </si>
  <si>
    <t>ДАТА ПРОВЕДЕНИЯ: 8 Июня 2023 года</t>
  </si>
  <si>
    <t>ОКОНЧАНИЕ ГОНКИ:</t>
  </si>
  <si>
    <t>№ ЕКП 2023: 26273</t>
  </si>
  <si>
    <t>ИНФОРМАЦИЯ О ЖЮРИ И ГСК СОРЕВНОВАНИЙ:</t>
  </si>
  <si>
    <t>ТЕХНИЧЕСКИЕ ДАННЫЕ ТРАССЫ:</t>
  </si>
  <si>
    <t xml:space="preserve">НАЗВАНИЕ ТРАССЫ / РЕГ. НОМЕР: велотрек "Локосфинкс" 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</si>
  <si>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</si>
  <si>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</si>
  <si>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</si>
  <si>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</si>
  <si>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</si>
  <si>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</si>
  <si>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</si>
  <si>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</si>
  <si>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</si>
  <si>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0,250/3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</si>
  <si>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</si>
  <si>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</si>
  <si>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</si>
  <si>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</si>
  <si>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</si>
  <si>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</si>
  <si>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</si>
  <si>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</si>
  <si>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</si>
  <si>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</si>
  <si>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</si>
  <si>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</si>
  <si>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0-250 м</t>
  </si>
  <si>
    <t>250-500 м</t>
  </si>
  <si>
    <t>500-750 м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</si>
  <si>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</si>
  <si>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</si>
  <si>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</si>
  <si>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</si>
  <si>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</si>
  <si>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</si>
  <si>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</si>
  <si>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</si>
  <si>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</si>
  <si>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</si>
  <si>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</si>
  <si>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</si>
  <si>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</si>
  <si>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</si>
  <si>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</si>
  <si>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</si>
  <si>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</si>
  <si>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</si>
  <si>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</si>
  <si>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</si>
  <si>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</si>
  <si>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</si>
  <si>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Финал</t>
  </si>
  <si>
    <t>1 Раунд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</si>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</sst>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.00"/>
    <numFmt numFmtId="165" formatCode="m:ss.000"/>
    <numFmt numFmtId="166" formatCode="yyyy"/>
  </numFmts>
  <fonts count="25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7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22" fillId="0" borderId="0"/>
  </cellStyleXfs>
  <cellXfs count="2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4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4" fontId="8" fillId="2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4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8" fillId="2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/>
    </xf>
    <xf numFmtId="1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4" fontId="3" fillId="0" borderId="18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2" fontId="11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14" fontId="10" fillId="3" borderId="21" xfId="1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164" fontId="10" fillId="3" borderId="21" xfId="1" applyNumberFormat="1" applyFont="1" applyFill="1" applyBorder="1" applyAlignment="1">
      <alignment horizontal="center" vertical="center" wrapText="1"/>
    </xf>
    <xf numFmtId="2" fontId="12" fillId="3" borderId="21" xfId="1" applyNumberFormat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14" fontId="10" fillId="3" borderId="26" xfId="1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64" fontId="10" fillId="3" borderId="26" xfId="1" applyNumberFormat="1" applyFont="1" applyFill="1" applyBorder="1" applyAlignment="1">
      <alignment horizontal="center" vertical="center" wrapText="1"/>
    </xf>
    <xf numFmtId="2" fontId="12" fillId="3" borderId="26" xfId="1" applyNumberFormat="1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14" fontId="16" fillId="0" borderId="30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65" fontId="15" fillId="0" borderId="31" xfId="0" applyNumberFormat="1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165" fontId="15" fillId="0" borderId="31" xfId="0" applyNumberFormat="1" applyFont="1" applyBorder="1" applyAlignment="1">
      <alignment horizontal="center" vertical="center"/>
    </xf>
    <xf numFmtId="165" fontId="17" fillId="0" borderId="31" xfId="0" applyNumberFormat="1" applyFont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1" fontId="19" fillId="0" borderId="34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/>
    </xf>
    <xf numFmtId="14" fontId="16" fillId="0" borderId="36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65" fontId="15" fillId="0" borderId="37" xfId="0" applyNumberFormat="1" applyFont="1" applyBorder="1" applyAlignment="1">
      <alignment horizontal="center" vertical="center"/>
    </xf>
    <xf numFmtId="165" fontId="20" fillId="0" borderId="37" xfId="0" applyNumberFormat="1" applyFont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5" fontId="19" fillId="0" borderId="38" xfId="0" applyNumberFormat="1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14" fontId="16" fillId="0" borderId="40" xfId="0" applyNumberFormat="1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14" fontId="16" fillId="0" borderId="44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165" fontId="15" fillId="0" borderId="44" xfId="0" applyNumberFormat="1" applyFont="1" applyBorder="1" applyAlignment="1">
      <alignment horizontal="center" vertical="center"/>
    </xf>
    <xf numFmtId="165" fontId="20" fillId="0" borderId="44" xfId="0" applyNumberFormat="1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5" fontId="19" fillId="0" borderId="46" xfId="0" applyNumberFormat="1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14" fontId="16" fillId="0" borderId="48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65" fontId="21" fillId="0" borderId="37" xfId="0" applyNumberFormat="1" applyFont="1" applyBorder="1" applyAlignment="1">
      <alignment horizontal="center" vertical="center"/>
    </xf>
    <xf numFmtId="165" fontId="21" fillId="0" borderId="44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1" fontId="19" fillId="0" borderId="50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/>
    </xf>
    <xf numFmtId="14" fontId="16" fillId="0" borderId="45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2" fontId="15" fillId="0" borderId="31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justify"/>
    </xf>
    <xf numFmtId="0" fontId="23" fillId="0" borderId="0" xfId="2" applyFont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3" borderId="52" xfId="3" applyFont="1" applyFill="1" applyBorder="1" applyAlignment="1">
      <alignment horizontal="center" vertical="center"/>
    </xf>
    <xf numFmtId="0" fontId="7" fillId="3" borderId="23" xfId="3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/>
    </xf>
    <xf numFmtId="0" fontId="7" fillId="3" borderId="53" xfId="3" applyFont="1" applyFill="1" applyBorder="1" applyAlignment="1">
      <alignment horizontal="center" vertical="center"/>
    </xf>
    <xf numFmtId="0" fontId="3" fillId="0" borderId="13" xfId="3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49" fontId="3" fillId="0" borderId="14" xfId="3" applyNumberFormat="1" applyFont="1" applyBorder="1" applyAlignment="1">
      <alignment horizontal="left" vertical="center"/>
    </xf>
    <xf numFmtId="0" fontId="3" fillId="0" borderId="36" xfId="3" applyFont="1" applyBorder="1" applyAlignment="1">
      <alignment vertical="center"/>
    </xf>
    <xf numFmtId="14" fontId="3" fillId="0" borderId="36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6" xfId="3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49" fontId="3" fillId="0" borderId="36" xfId="3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6" xfId="3" applyFont="1" applyBorder="1" applyAlignment="1">
      <alignment horizontal="center" vertical="center"/>
    </xf>
    <xf numFmtId="49" fontId="3" fillId="0" borderId="16" xfId="3" applyNumberFormat="1" applyFont="1" applyBorder="1" applyAlignment="1">
      <alignment vertical="center"/>
    </xf>
    <xf numFmtId="0" fontId="3" fillId="0" borderId="17" xfId="3" applyFont="1" applyBorder="1" applyAlignment="1">
      <alignment horizontal="center" vertical="center"/>
    </xf>
    <xf numFmtId="9" fontId="3" fillId="0" borderId="14" xfId="3" applyNumberFormat="1" applyFont="1" applyBorder="1" applyAlignment="1">
      <alignment horizontal="left" vertical="center"/>
    </xf>
    <xf numFmtId="49" fontId="3" fillId="0" borderId="36" xfId="3" applyNumberFormat="1" applyFont="1" applyBorder="1" applyAlignment="1">
      <alignment horizontal="left" vertical="center"/>
    </xf>
    <xf numFmtId="0" fontId="3" fillId="0" borderId="14" xfId="3" applyFont="1" applyBorder="1" applyAlignment="1">
      <alignment horizontal="left" vertical="center"/>
    </xf>
    <xf numFmtId="2" fontId="3" fillId="0" borderId="36" xfId="3" applyNumberFormat="1" applyFont="1" applyBorder="1" applyAlignment="1">
      <alignment vertical="center"/>
    </xf>
    <xf numFmtId="2" fontId="3" fillId="0" borderId="16" xfId="3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24" fillId="4" borderId="13" xfId="3" applyFont="1" applyFill="1" applyBorder="1" applyAlignment="1">
      <alignment horizontal="center" vertical="center"/>
    </xf>
    <xf numFmtId="0" fontId="24" fillId="4" borderId="14" xfId="3" applyFont="1" applyFill="1" applyBorder="1" applyAlignment="1">
      <alignment horizontal="center" vertical="center"/>
    </xf>
    <xf numFmtId="0" fontId="24" fillId="4" borderId="14" xfId="3" applyFont="1" applyFill="1" applyBorder="1" applyAlignment="1">
      <alignment horizontal="center"/>
    </xf>
    <xf numFmtId="0" fontId="24" fillId="4" borderId="17" xfId="3" applyFont="1" applyFill="1" applyBorder="1" applyAlignment="1">
      <alignment horizont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4" fontId="3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4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2" fillId="0" borderId="18" xfId="3" applyBorder="1" applyAlignment="1">
      <alignment horizontal="center"/>
    </xf>
    <xf numFmtId="0" fontId="22" fillId="0" borderId="55" xfId="3" applyBorder="1" applyAlignment="1">
      <alignment horizontal="center"/>
    </xf>
    <xf numFmtId="165" fontId="15" fillId="0" borderId="26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15" fillId="0" borderId="26" xfId="0" applyNumberFormat="1" applyFont="1" applyBorder="1" applyAlignment="1">
      <alignment horizontal="center" vertical="center"/>
    </xf>
    <xf numFmtId="165" fontId="17" fillId="0" borderId="26" xfId="0" applyNumberFormat="1" applyFont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165" fontId="17" fillId="0" borderId="37" xfId="0" applyNumberFormat="1" applyFont="1" applyBorder="1" applyAlignment="1">
      <alignment horizontal="center" vertical="center"/>
    </xf>
    <xf numFmtId="2" fontId="15" fillId="0" borderId="37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142875</xdr:rowOff>
    </xdr:from>
    <xdr:to>
      <xdr:col>3</xdr:col>
      <xdr:colOff>333375</xdr:colOff>
      <xdr:row>4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1590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428625</xdr:colOff>
      <xdr:row>0</xdr:row>
      <xdr:rowOff>76200</xdr:rowOff>
    </xdr:from>
    <xdr:to>
      <xdr:col>13</xdr:col>
      <xdr:colOff>76200</xdr:colOff>
      <xdr:row>4</xdr:row>
      <xdr:rowOff>19050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620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666750</xdr:colOff>
      <xdr:row>53</xdr:row>
      <xdr:rowOff>66675</xdr:rowOff>
    </xdr:from>
    <xdr:to>
      <xdr:col>4</xdr:col>
      <xdr:colOff>523875</xdr:colOff>
      <xdr:row>59</xdr:row>
      <xdr:rowOff>66675</xdr:rowOff>
    </xdr:to>
    <xdr:pic>
      <xdr:nvPicPr>
        <xdr:cNvPr id="4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1039475"/>
          <a:ext cx="1285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723900</xdr:colOff>
      <xdr:row>54</xdr:row>
      <xdr:rowOff>142875</xdr:rowOff>
    </xdr:from>
    <xdr:to>
      <xdr:col>7</xdr:col>
      <xdr:colOff>419100</xdr:colOff>
      <xdr:row>58</xdr:row>
      <xdr:rowOff>114300</xdr:rowOff>
    </xdr:to>
    <xdr:pic>
      <xdr:nvPicPr>
        <xdr:cNvPr id="5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129665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53</xdr:row>
      <xdr:rowOff>171450</xdr:rowOff>
    </xdr:from>
    <xdr:to>
      <xdr:col>13</xdr:col>
      <xdr:colOff>142875</xdr:colOff>
      <xdr:row>59</xdr:row>
      <xdr:rowOff>123825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1144250"/>
          <a:ext cx="1590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Кейрин.табл муж (3)"/>
      <sheetName val="муж к (2)"/>
      <sheetName val="Кейрин. ж"/>
      <sheetName val="жен к (3)"/>
      <sheetName val="Кейрин. юниоры"/>
      <sheetName val="юниоры к (4)"/>
      <sheetName val="Кейрин.табл юниорки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Кейрин.табл муж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Гр В муж.  (2)"/>
      <sheetName val="гр В юниоры (2)"/>
      <sheetName val="гр В юниорки (2)"/>
      <sheetName val="Ит жен 1 (2)"/>
      <sheetName val="Ит муж 1 (2)"/>
      <sheetName val="юниоры тех "/>
      <sheetName val="муж тех   (2)"/>
      <sheetName val="жен тех "/>
      <sheetName val="юниорки тех 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омниум муж.  (2)"/>
      <sheetName val="омниум юниоры (2)"/>
      <sheetName val="омниум жен (2)"/>
      <sheetName val="омниум юниорки (2)"/>
      <sheetName val="муж Гст"/>
      <sheetName val="жен Гст"/>
      <sheetName val="юниоры Гст"/>
      <sheetName val="юниорки Гст"/>
      <sheetName val="муж спринт на 16 чел (2)"/>
      <sheetName val="омниум муж. "/>
      <sheetName val="омниум жен."/>
      <sheetName val="омниум юниоры"/>
      <sheetName val="омниум юниорки."/>
      <sheetName val="гонка по очкам муж.  (3)"/>
      <sheetName val="гонка по очкам жен. (2)"/>
      <sheetName val="гонка по очкам юниоры (3)"/>
      <sheetName val="гонка по очкам юниорки. (2)"/>
      <sheetName val="скретч муж.  (4)"/>
      <sheetName val="скретч жен. (3)"/>
      <sheetName val="скретч юниоры (4)"/>
      <sheetName val="скретч юниорки. (3)"/>
      <sheetName val="выб муж.  (5)"/>
      <sheetName val="выб жен. (4)"/>
      <sheetName val="выб юниоры (5)"/>
      <sheetName val="выб юниорки. (4)"/>
      <sheetName val="кейрин муж (3)"/>
      <sheetName val="кейрин жен (3)"/>
      <sheetName val="кейрин юниоры"/>
      <sheetName val="кейрин юниорки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игп муж"/>
      <sheetName val="игп жен)"/>
      <sheetName val="игп юниоры."/>
      <sheetName val="игп юниорки."/>
      <sheetName val="список"/>
      <sheetName val="список общий 19-22"/>
      <sheetName val="список общий 17-18"/>
      <sheetName val="ком гонка юниоры 17-18"/>
      <sheetName val="ком гонка юниоры 19-22"/>
      <sheetName val="ком гонка юниорки 17-18"/>
      <sheetName val="ком гонка юниорки 19-22"/>
      <sheetName val="ком гонка юниоры 17-18 (2)"/>
      <sheetName val="ком гонка юниоры 19-22 (2)"/>
      <sheetName val="ком гонка юниорки 17-18 (2)"/>
      <sheetName val="ком гонка юниорки 19-22 (2)"/>
      <sheetName val="ком спринт юниорки 17-18 кв"/>
      <sheetName val="ком спринт юниоры 17-18 кв"/>
      <sheetName val="ком спринт юниорки 19-22 кв"/>
      <sheetName val="ком спринт юниоры 19-22 кв"/>
      <sheetName val="ком спринт юниорки 17-18 1 р"/>
      <sheetName val="ком спринт юниоры 17-18 1 р "/>
      <sheetName val="ком спринт юниорки 19-22 кв (3)"/>
      <sheetName val="ком спринт юниоры 19-22 1 раунд"/>
      <sheetName val="ком спринт юниорки 17-18 кв (2"/>
      <sheetName val="ком спринт юниоры 17-18 кв (2)"/>
      <sheetName val="ком спринт юниорки 19-22 кв (4"/>
      <sheetName val="ком спринт юниоры 19-22 кв (2)"/>
      <sheetName val="Гит 200 м юниоры 19-22"/>
      <sheetName val="Гит 200 м юниорки 19-22"/>
      <sheetName val="Гит 200 м юниоры 17-18"/>
      <sheetName val="Гит 200 м юниорки"/>
      <sheetName val="муж спринт итог"/>
      <sheetName val="жен спринт итог (2)"/>
      <sheetName val="юниоры спринт итог (2)"/>
      <sheetName val="юниорки спринт итог (3)"/>
      <sheetName val="муж скретч ом 1"/>
      <sheetName val="темпо муж"/>
      <sheetName val="муж выб ом 3"/>
      <sheetName val="Омниум итог муж"/>
      <sheetName val="муж кейрин итог (2)"/>
      <sheetName val="муж выб"/>
      <sheetName val="муж медисон"/>
      <sheetName val="муж скретч"/>
      <sheetName val="Игп юниоры 19-22"/>
      <sheetName val="игп жен"/>
      <sheetName val="игп юниоры"/>
      <sheetName val="Игп юниорки"/>
      <sheetName val="Гит 500 м жен (3)"/>
      <sheetName val="гит 1000 юниоры 19-22"/>
      <sheetName val="гонка по очкам юниоры 19-22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КМС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КМС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КМС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Республика Удмуртия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Республика Удмуртия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Республика Удмуртия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Республика Удмуртия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Республика Удмуртия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61"/>
  <sheetViews>
    <sheetView tabSelected="1" topLeftCell="A16" zoomScaleNormal="100" workbookViewId="0">
      <selection activeCell="T34" sqref="T34"/>
    </sheetView>
  </sheetViews>
  <sheetFormatPr defaultRowHeight="12.75" x14ac:dyDescent="0.2"/>
  <cols>
    <col min="1" max="1" width="4.7109375" customWidth="1"/>
    <col min="2" max="2" width="4.28515625" customWidth="1"/>
    <col min="3" max="3" width="12.42578125" customWidth="1"/>
    <col min="4" max="4" width="21.42578125" customWidth="1"/>
    <col min="5" max="5" width="9.7109375" customWidth="1"/>
    <col min="6" max="6" width="7.28515625" customWidth="1"/>
    <col min="7" max="7" width="17.85546875" customWidth="1"/>
    <col min="8" max="10" width="7.85546875" customWidth="1"/>
    <col min="11" max="11" width="9.140625" customWidth="1"/>
    <col min="12" max="13" width="7.7109375" customWidth="1"/>
    <col min="14" max="14" width="10.5703125" customWidth="1"/>
    <col min="20" max="24" width="3.7109375" customWidth="1"/>
    <col min="25" max="25" width="9.85546875" customWidth="1"/>
    <col min="26" max="27" width="3.7109375" customWidth="1"/>
  </cols>
  <sheetData>
    <row r="1" spans="1:14" ht="23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89999999999999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1.4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8.4499999999999993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.4499999999999993" customHeight="1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600000000000001" customHeight="1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8.4499999999999993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3.9" customHeight="1" x14ac:dyDescent="0.2">
      <c r="A11" s="12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9" customHeight="1" x14ac:dyDescent="0.2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15.75" x14ac:dyDescent="0.2">
      <c r="A13" s="18" t="s">
        <v>8</v>
      </c>
      <c r="B13" s="19"/>
      <c r="C13" s="19"/>
      <c r="D13" s="19"/>
      <c r="E13" s="20"/>
      <c r="F13" s="21"/>
      <c r="G13" s="22" t="s">
        <v>9</v>
      </c>
      <c r="H13" s="23"/>
      <c r="I13" s="23"/>
      <c r="J13" s="23"/>
      <c r="K13" s="23"/>
      <c r="L13" s="24"/>
      <c r="M13" s="25"/>
      <c r="N13" s="26" t="s">
        <v>10</v>
      </c>
    </row>
    <row r="14" spans="1:14" ht="15.75" x14ac:dyDescent="0.2">
      <c r="A14" s="27" t="s">
        <v>11</v>
      </c>
      <c r="B14" s="28"/>
      <c r="C14" s="28"/>
      <c r="D14" s="28"/>
      <c r="E14" s="29"/>
      <c r="F14" s="30"/>
      <c r="G14" s="31" t="s">
        <v>12</v>
      </c>
      <c r="H14" s="32"/>
      <c r="I14" s="32"/>
      <c r="J14" s="32"/>
      <c r="K14" s="32"/>
      <c r="L14" s="33"/>
      <c r="M14" s="34"/>
      <c r="N14" s="35" t="s">
        <v>13</v>
      </c>
    </row>
    <row r="15" spans="1:14" ht="15" x14ac:dyDescent="0.2">
      <c r="A15" s="36" t="s">
        <v>14</v>
      </c>
      <c r="B15" s="37"/>
      <c r="C15" s="37"/>
      <c r="D15" s="37"/>
      <c r="E15" s="37"/>
      <c r="F15" s="37"/>
      <c r="G15" s="38"/>
      <c r="H15" s="39" t="s">
        <v>15</v>
      </c>
      <c r="I15" s="40"/>
      <c r="J15" s="40"/>
      <c r="K15" s="40"/>
      <c r="L15" s="40"/>
      <c r="M15" s="40"/>
      <c r="N15" s="41"/>
    </row>
    <row r="16" spans="1:14" ht="15" x14ac:dyDescent="0.2">
      <c r="A16" s="42"/>
      <c r="B16" s="43"/>
      <c r="C16" s="43"/>
      <c r="D16" s="44"/>
      <c r="E16" s="45" t="s">
        <v>2</v>
      </c>
      <c r="F16" s="44"/>
      <c r="G16" s="45"/>
      <c r="H16" s="46" t="s">
        <v>16</v>
      </c>
      <c r="I16" s="47"/>
      <c r="J16" s="47"/>
      <c r="K16" s="47"/>
      <c r="L16" s="47"/>
      <c r="M16" s="47"/>
      <c r="N16" s="48"/>
    </row>
    <row r="17" spans="1:17" ht="15" x14ac:dyDescent="0.2">
      <c r="A17" s="42" t="s">
        <v>17</v>
      </c>
      <c r="B17" s="43"/>
      <c r="C17" s="43"/>
      <c r="D17" s="45"/>
      <c r="E17" s="49"/>
      <c r="F17" s="44"/>
      <c r="G17" s="50" t="s">
        <v>18</v>
      </c>
      <c r="H17" s="46" t="s">
        <v>19</v>
      </c>
      <c r="I17" s="47"/>
      <c r="J17" s="47"/>
      <c r="K17" s="47"/>
      <c r="L17" s="47"/>
      <c r="M17" s="47"/>
      <c r="N17" s="48"/>
    </row>
    <row r="18" spans="1:17" ht="15" x14ac:dyDescent="0.2">
      <c r="A18" s="42" t="s">
        <v>20</v>
      </c>
      <c r="B18" s="43"/>
      <c r="C18" s="43"/>
      <c r="D18" s="45"/>
      <c r="E18" s="49"/>
      <c r="F18" s="44"/>
      <c r="G18" s="50" t="s">
        <v>21</v>
      </c>
      <c r="H18" s="46" t="s">
        <v>22</v>
      </c>
      <c r="I18" s="47"/>
      <c r="J18" s="47"/>
      <c r="K18" s="47"/>
      <c r="L18" s="47"/>
      <c r="M18" s="47"/>
      <c r="N18" s="48"/>
    </row>
    <row r="19" spans="1:17" ht="16.5" thickBot="1" x14ac:dyDescent="0.25">
      <c r="A19" s="42" t="s">
        <v>23</v>
      </c>
      <c r="B19" s="51"/>
      <c r="C19" s="51"/>
      <c r="D19" s="52"/>
      <c r="E19" s="53"/>
      <c r="F19" s="52"/>
      <c r="G19" s="50" t="s">
        <v>24</v>
      </c>
      <c r="H19" s="54" t="s">
        <v>25</v>
      </c>
      <c r="I19" s="55"/>
      <c r="J19" s="55"/>
      <c r="K19" s="55"/>
      <c r="L19" s="56">
        <v>0.75</v>
      </c>
      <c r="N19" s="57" t="s">
        <v>26</v>
      </c>
    </row>
    <row r="20" spans="1:17" ht="6.6" customHeight="1" thickTop="1" thickBot="1" x14ac:dyDescent="0.25">
      <c r="A20" s="58"/>
      <c r="B20" s="59"/>
      <c r="C20" s="59"/>
      <c r="D20" s="58"/>
      <c r="E20" s="60"/>
      <c r="F20" s="58"/>
      <c r="G20" s="58"/>
      <c r="H20" s="61"/>
      <c r="I20" s="61"/>
      <c r="J20" s="61"/>
      <c r="K20" s="61"/>
      <c r="L20" s="62"/>
      <c r="M20" s="58"/>
      <c r="N20" s="58"/>
    </row>
    <row r="21" spans="1:17" ht="13.5" thickTop="1" x14ac:dyDescent="0.2">
      <c r="A21" s="63" t="s">
        <v>27</v>
      </c>
      <c r="B21" s="64" t="s">
        <v>28</v>
      </c>
      <c r="C21" s="65" t="s">
        <v>29</v>
      </c>
      <c r="D21" s="65" t="s">
        <v>30</v>
      </c>
      <c r="E21" s="66" t="s">
        <v>31</v>
      </c>
      <c r="F21" s="65" t="s">
        <v>32</v>
      </c>
      <c r="G21" s="65" t="s">
        <v>33</v>
      </c>
      <c r="H21" s="67" t="s">
        <v>34</v>
      </c>
      <c r="I21" s="68"/>
      <c r="J21" s="68"/>
      <c r="K21" s="69" t="s">
        <v>35</v>
      </c>
      <c r="L21" s="70" t="s">
        <v>36</v>
      </c>
      <c r="M21" s="71" t="s">
        <v>37</v>
      </c>
      <c r="N21" s="72" t="s">
        <v>38</v>
      </c>
    </row>
    <row r="22" spans="1:17" ht="13.5" thickBot="1" x14ac:dyDescent="0.25">
      <c r="A22" s="73"/>
      <c r="B22" s="74"/>
      <c r="C22" s="75"/>
      <c r="D22" s="75"/>
      <c r="E22" s="76"/>
      <c r="F22" s="75"/>
      <c r="G22" s="75"/>
      <c r="H22" s="77" t="s">
        <v>39</v>
      </c>
      <c r="I22" s="77" t="s">
        <v>40</v>
      </c>
      <c r="J22" s="77" t="s">
        <v>41</v>
      </c>
      <c r="K22" s="78"/>
      <c r="L22" s="79"/>
      <c r="M22" s="80"/>
      <c r="N22" s="81"/>
      <c r="Q22" s="82"/>
    </row>
    <row r="23" spans="1:17" ht="22.5" customHeight="1" x14ac:dyDescent="0.2">
      <c r="A23" s="83">
        <v>1</v>
      </c>
      <c r="B23" s="84">
        <v>162</v>
      </c>
      <c r="C23" s="85">
        <f>IF(ISBLANK($B23),"",VLOOKUP($B23,[1]список!$B$1:$G$544,2,0))</f>
        <v>10089461161</v>
      </c>
      <c r="D23" s="85" t="str">
        <f>IF(ISBLANK($B23),"",VLOOKUP($B23,[1]список!$B$1:$G$544,3,0))</f>
        <v>Новикова Софья</v>
      </c>
      <c r="E23" s="86">
        <f>IF(ISBLANK($B23),"",VLOOKUP($B23,[1]список!$B$1:$G$544,4,0))</f>
        <v>38988</v>
      </c>
      <c r="F23" s="86" t="str">
        <f>IF(ISBLANK($B23),"",VLOOKUP($B23,[1]список!$B$1:$H$544,5,0))</f>
        <v>КМС</v>
      </c>
      <c r="G23" s="87" t="str">
        <f>IF(ISBLANK($B23),"",VLOOKUP($B23,[1]список!$B$1:$H$544,6,0))</f>
        <v>Москва</v>
      </c>
      <c r="H23" s="88">
        <v>2.32037037037037E-4</v>
      </c>
      <c r="I23" s="89">
        <f>I24-H23</f>
        <v>1.669444444444445E-4</v>
      </c>
      <c r="J23" s="90">
        <f>K23-I24</f>
        <v>1.7489583333333333E-4</v>
      </c>
      <c r="K23" s="91">
        <v>5.7387731481481482E-4</v>
      </c>
      <c r="L23" s="92">
        <f>0.75/(HOUR(K23)+MINUTE(K23)/60+SECOND(K23)/3600)</f>
        <v>54</v>
      </c>
      <c r="M23" s="93" t="str">
        <f>IF(K23&lt;=TIMEVALUE("0:47,500"),"МСМК",IF(K23&lt;=TIMEVALUE("0:48,700"),"МС",IF(K23&lt;=TIMEVALUE("0:51,500"),"КМС",IF(K23&lt;=TIMEVALUE("0:53,500"),"1 СР",IF(K23&lt;=TIMEVALUE("0:55,500"),"2 СР",IF(K23&lt;=TIMEVALUE("0:57,500"),"3 СР",IF(K23&lt;=TIMEVALUE("1:00,000"),"1 сп.юн.р.")))))))</f>
        <v>КМС</v>
      </c>
      <c r="N23" s="94" t="s">
        <v>64</v>
      </c>
      <c r="Q23" s="82"/>
    </row>
    <row r="24" spans="1:17" ht="22.5" customHeight="1" x14ac:dyDescent="0.2">
      <c r="A24" s="95">
        <f>A23</f>
        <v>1</v>
      </c>
      <c r="B24" s="96">
        <v>158</v>
      </c>
      <c r="C24" s="97">
        <f>IF(ISBLANK($B24),"",VLOOKUP($B24,[1]список!$B$1:$G$544,2,0))</f>
        <v>10094917312</v>
      </c>
      <c r="D24" s="97" t="str">
        <f>IF(ISBLANK($B24),"",VLOOKUP($B24,[1]список!$B$1:$G$544,3,0))</f>
        <v>Солозобова Елизавета</v>
      </c>
      <c r="E24" s="98">
        <f>IF(ISBLANK($B24),"",VLOOKUP($B24,[1]список!$B$1:$G$544,4,0))</f>
        <v>38671</v>
      </c>
      <c r="F24" s="98" t="str">
        <f>IF(ISBLANK($B24),"",VLOOKUP($B24,[1]список!$B$1:$H$544,5,0))</f>
        <v>МС</v>
      </c>
      <c r="G24" s="99" t="str">
        <f>IF(ISBLANK($B24),"",VLOOKUP($B24,[1]список!$B$1:$H$544,6,0))</f>
        <v>Москва</v>
      </c>
      <c r="H24" s="100"/>
      <c r="I24" s="100">
        <v>3.989814814814815E-4</v>
      </c>
      <c r="J24" s="100"/>
      <c r="K24" s="101"/>
      <c r="L24" s="102"/>
      <c r="M24" s="103"/>
      <c r="N24" s="104"/>
      <c r="Q24" s="82"/>
    </row>
    <row r="25" spans="1:17" ht="22.5" customHeight="1" x14ac:dyDescent="0.2">
      <c r="A25" s="95"/>
      <c r="B25" s="105">
        <v>164</v>
      </c>
      <c r="C25" s="106">
        <f>IF(ISBLANK($B25),"",VLOOKUP($B25,[1]список!$B$1:$G$544,2,0))</f>
        <v>10096881762</v>
      </c>
      <c r="D25" s="106" t="str">
        <f>IF(ISBLANK($B25),"",VLOOKUP($B25,[1]список!$B$1:$G$544,3,0))</f>
        <v>Заика София</v>
      </c>
      <c r="E25" s="107">
        <f>IF(ISBLANK($B25),"",VLOOKUP($B25,[1]список!$B$1:$G$544,4,0))</f>
        <v>38989</v>
      </c>
      <c r="F25" s="107" t="str">
        <f>IF(ISBLANK($B25),"",VLOOKUP($B25,[1]список!$B$1:$H$544,5,0))</f>
        <v>КМС</v>
      </c>
      <c r="G25" s="108" t="str">
        <f>IF(ISBLANK($B25),"",VLOOKUP($B25,[1]список!$B$1:$H$544,6,0))</f>
        <v>Москва</v>
      </c>
      <c r="H25" s="100"/>
      <c r="I25" s="100"/>
      <c r="J25" s="100"/>
      <c r="K25" s="101"/>
      <c r="L25" s="102"/>
      <c r="M25" s="109"/>
      <c r="N25" s="104"/>
    </row>
    <row r="26" spans="1:17" ht="22.5" customHeight="1" thickBot="1" x14ac:dyDescent="0.25">
      <c r="A26" s="110">
        <f>A23</f>
        <v>1</v>
      </c>
      <c r="B26" s="111">
        <v>157</v>
      </c>
      <c r="C26" s="112">
        <f>IF(ISBLANK($B26),"",VLOOKUP($B26,[1]список!$B$1:$G$544,2,0))</f>
        <v>10094893363</v>
      </c>
      <c r="D26" s="112" t="str">
        <f>IF(ISBLANK($B26),"",VLOOKUP($B26,[1]список!$B$1:$G$544,3,0))</f>
        <v>Семенюк Яна</v>
      </c>
      <c r="E26" s="113">
        <f>IF(ISBLANK($B26),"",VLOOKUP($B26,[1]список!$B$1:$G$544,4,0))</f>
        <v>38783</v>
      </c>
      <c r="F26" s="113" t="str">
        <f>IF(ISBLANK($B26),"",VLOOKUP($B26,[1]список!$B$1:$H$544,5,0))</f>
        <v>КМС</v>
      </c>
      <c r="G26" s="114" t="str">
        <f>IF(ISBLANK($B26),"",VLOOKUP($B26,[1]список!$B$1:$H$544,6,0))</f>
        <v>Москва</v>
      </c>
      <c r="H26" s="115"/>
      <c r="I26" s="115"/>
      <c r="J26" s="115"/>
      <c r="K26" s="116"/>
      <c r="L26" s="117"/>
      <c r="M26" s="118"/>
      <c r="N26" s="119"/>
    </row>
    <row r="27" spans="1:17" ht="22.5" customHeight="1" x14ac:dyDescent="0.2">
      <c r="A27" s="83">
        <v>2</v>
      </c>
      <c r="B27" s="120">
        <v>100</v>
      </c>
      <c r="C27" s="85">
        <f>IF(ISBLANK($B27),"",VLOOKUP($B27,[1]список!$B$1:$G$544,2,0))</f>
        <v>10090053164</v>
      </c>
      <c r="D27" s="85" t="str">
        <f>IF(ISBLANK($B27),"",VLOOKUP($B27,[1]список!$B$1:$G$544,3,0))</f>
        <v>Клименко Эвелина</v>
      </c>
      <c r="E27" s="86">
        <f>IF(ISBLANK($B27),"",VLOOKUP($B27,[1]список!$B$1:$G$544,4,0))</f>
        <v>39217</v>
      </c>
      <c r="F27" s="86" t="str">
        <f>IF(ISBLANK($B27),"",VLOOKUP($B27,[1]список!$B$1:$H$544,5,0))</f>
        <v>КМС</v>
      </c>
      <c r="G27" s="87" t="str">
        <f>IF(ISBLANK($B27),"",VLOOKUP($B27,[1]список!$B$1:$H$544,6,0))</f>
        <v>Санкт-Петербург</v>
      </c>
      <c r="H27" s="88">
        <v>2.3809027777777782E-4</v>
      </c>
      <c r="I27" s="89">
        <f>I28-H27</f>
        <v>1.7488425925925923E-4</v>
      </c>
      <c r="J27" s="90">
        <f>K27-I28</f>
        <v>1.7906250000000002E-4</v>
      </c>
      <c r="K27" s="91">
        <v>5.9203703703703708E-4</v>
      </c>
      <c r="L27" s="92">
        <f>0.75/(HOUR(K27)+MINUTE(K27)/60+SECOND(K27)/3600)</f>
        <v>52.941176470588239</v>
      </c>
      <c r="M27" s="93" t="str">
        <f>IF(K27&lt;=TIMEVALUE("0:47,500"),"МСМК",IF(K27&lt;=TIMEVALUE("0:48,700"),"МС",IF(K27&lt;=TIMEVALUE("0:51,500"),"КМС",IF(K27&lt;=TIMEVALUE("0:53,500"),"1 СР",IF(K27&lt;=TIMEVALUE("0:55,500"),"2 СР",IF(K27&lt;=TIMEVALUE("0:57,500"),"3 СР",IF(K27&lt;=TIMEVALUE("1:00,000"),"1 сп.юн.р.")))))))</f>
        <v>КМС</v>
      </c>
      <c r="N27" s="94" t="s">
        <v>64</v>
      </c>
    </row>
    <row r="28" spans="1:17" ht="22.5" customHeight="1" x14ac:dyDescent="0.2">
      <c r="A28" s="95">
        <f>A27</f>
        <v>2</v>
      </c>
      <c r="B28" s="96">
        <v>95</v>
      </c>
      <c r="C28" s="97">
        <f>IF(ISBLANK($B28),"",VLOOKUP($B28,[1]список!$B$1:$G$544,2,0))</f>
        <v>10128589850</v>
      </c>
      <c r="D28" s="97" t="str">
        <f>IF(ISBLANK($B28),"",VLOOKUP($B28,[1]список!$B$1:$G$544,3,0))</f>
        <v>Беляева Анна</v>
      </c>
      <c r="E28" s="98">
        <f>IF(ISBLANK($B28),"",VLOOKUP($B28,[1]список!$B$1:$G$544,4,0))</f>
        <v>38965</v>
      </c>
      <c r="F28" s="98" t="str">
        <f>IF(ISBLANK($B28),"",VLOOKUP($B28,[1]список!$B$1:$H$544,5,0))</f>
        <v>КМС</v>
      </c>
      <c r="G28" s="99" t="str">
        <f>IF(ISBLANK($B28),"",VLOOKUP($B28,[1]список!$B$1:$H$544,6,0))</f>
        <v>Санкт-Петербург</v>
      </c>
      <c r="H28" s="100"/>
      <c r="I28" s="100">
        <v>4.1297453703703705E-4</v>
      </c>
      <c r="J28" s="100"/>
      <c r="K28" s="101"/>
      <c r="L28" s="102"/>
      <c r="M28" s="103"/>
      <c r="N28" s="104"/>
      <c r="Q28" s="82"/>
    </row>
    <row r="29" spans="1:17" ht="22.5" customHeight="1" x14ac:dyDescent="0.2">
      <c r="A29" s="95"/>
      <c r="B29" s="121">
        <v>97</v>
      </c>
      <c r="C29" s="122">
        <f>IF(ISBLANK($B29),"",VLOOKUP($B29,[1]список!$B$1:$G$544,2,0))</f>
        <v>10101686292</v>
      </c>
      <c r="D29" s="122" t="str">
        <f>IF(ISBLANK($B29),"",VLOOKUP($B29,[1]список!$B$1:$G$544,3,0))</f>
        <v>Леоничева Елизавета</v>
      </c>
      <c r="E29" s="123">
        <f>IF(ISBLANK($B29),"",VLOOKUP($B29,[1]список!$B$1:$G$544,4,0))</f>
        <v>38378</v>
      </c>
      <c r="F29" s="123" t="str">
        <f>IF(ISBLANK($B29),"",VLOOKUP($B29,[1]список!$B$1:$H$544,5,0))</f>
        <v>МС</v>
      </c>
      <c r="G29" s="124" t="str">
        <f>IF(ISBLANK($B29),"",VLOOKUP($B29,[1]список!$B$1:$H$544,6,0))</f>
        <v>Санкт-Петербург</v>
      </c>
      <c r="H29" s="100"/>
      <c r="I29" s="100"/>
      <c r="J29" s="100"/>
      <c r="K29" s="101"/>
      <c r="L29" s="102"/>
      <c r="M29" s="109"/>
      <c r="N29" s="104"/>
      <c r="Q29" s="82"/>
    </row>
    <row r="30" spans="1:17" ht="22.5" customHeight="1" thickBot="1" x14ac:dyDescent="0.25">
      <c r="A30" s="110">
        <f>A28</f>
        <v>2</v>
      </c>
      <c r="B30" s="125">
        <v>98</v>
      </c>
      <c r="C30" s="112">
        <f>IF(ISBLANK($B30),"",VLOOKUP($B30,[1]список!$B$1:$G$544,2,0))</f>
        <v>10137422207</v>
      </c>
      <c r="D30" s="112" t="str">
        <f>IF(ISBLANK($B30),"",VLOOKUP($B30,[1]список!$B$1:$G$544,3,0))</f>
        <v>Беляева Мария</v>
      </c>
      <c r="E30" s="113">
        <f>IF(ISBLANK($B30),"",VLOOKUP($B30,[1]список!$B$1:$G$544,4,0))</f>
        <v>39866</v>
      </c>
      <c r="F30" s="113" t="str">
        <f>IF(ISBLANK($B30),"",VLOOKUP($B30,[1]список!$B$1:$H$544,5,0))</f>
        <v>2 СР</v>
      </c>
      <c r="G30" s="114" t="str">
        <f>IF(ISBLANK($B30),"",VLOOKUP($B30,[1]список!$B$1:$H$544,6,0))</f>
        <v>Санкт-Петербург</v>
      </c>
      <c r="H30" s="115"/>
      <c r="I30" s="115"/>
      <c r="J30" s="115"/>
      <c r="K30" s="116"/>
      <c r="L30" s="117"/>
      <c r="M30" s="118"/>
      <c r="N30" s="119"/>
      <c r="Q30" s="82"/>
    </row>
    <row r="31" spans="1:17" ht="22.5" customHeight="1" x14ac:dyDescent="0.2">
      <c r="A31" s="83">
        <v>3</v>
      </c>
      <c r="B31" s="84">
        <v>111</v>
      </c>
      <c r="C31" s="85">
        <f>IF(ISBLANK($B31),"",VLOOKUP($B31,[1]список!$B$1:$G$544,2,0))</f>
        <v>10090442679</v>
      </c>
      <c r="D31" s="85" t="str">
        <f>IF(ISBLANK($B31),"",VLOOKUP($B31,[1]список!$B$1:$G$544,3,0))</f>
        <v>Бессонова София</v>
      </c>
      <c r="E31" s="86">
        <f>IF(ISBLANK($B31),"",VLOOKUP($B31,[1]список!$B$1:$G$544,4,0))</f>
        <v>38772</v>
      </c>
      <c r="F31" s="86" t="str">
        <f>IF(ISBLANK($B31),"",VLOOKUP($B31,[1]список!$B$1:$H$544,5,0))</f>
        <v>КМС</v>
      </c>
      <c r="G31" s="87" t="str">
        <f>IF(ISBLANK($B31),"",VLOOKUP($B31,[1]список!$B$1:$H$544,6,0))</f>
        <v>Тульская область</v>
      </c>
      <c r="H31" s="88">
        <v>2.3810185185185184E-4</v>
      </c>
      <c r="I31" s="89">
        <f>I32-H31</f>
        <v>1.776041666666667E-4</v>
      </c>
      <c r="J31" s="90">
        <f>K31-I32</f>
        <v>1.7077546296296291E-4</v>
      </c>
      <c r="K31" s="91">
        <v>5.8648148148148145E-4</v>
      </c>
      <c r="L31" s="92">
        <f>0.75/(HOUR(K31)+MINUTE(K31)/60+SECOND(K31)/3600)</f>
        <v>52.941176470588239</v>
      </c>
      <c r="M31" s="93" t="str">
        <f>IF(K31&lt;=TIMEVALUE("0:47,500"),"МСМК",IF(K31&lt;=TIMEVALUE("0:48,700"),"МС",IF(K31&lt;=TIMEVALUE("0:51,500"),"КМС",IF(K31&lt;=TIMEVALUE("0:53,500"),"1 СР",IF(K31&lt;=TIMEVALUE("0:55,500"),"2 СР",IF(K31&lt;=TIMEVALUE("0:57,500"),"3 СР",IF(K31&lt;=TIMEVALUE("1:00,000"),"1 сп.юн.р.")))))))</f>
        <v>КМС</v>
      </c>
      <c r="N31" s="94" t="s">
        <v>64</v>
      </c>
      <c r="Q31" s="82"/>
    </row>
    <row r="32" spans="1:17" ht="22.5" customHeight="1" x14ac:dyDescent="0.2">
      <c r="A32" s="95">
        <f>A31</f>
        <v>3</v>
      </c>
      <c r="B32" s="96">
        <v>114</v>
      </c>
      <c r="C32" s="97">
        <f>IF(ISBLANK($B32),"",VLOOKUP($B32,[1]список!$B$1:$G$544,2,0))</f>
        <v>10100041841</v>
      </c>
      <c r="D32" s="97" t="str">
        <f>IF(ISBLANK($B32),"",VLOOKUP($B32,[1]список!$B$1:$G$544,3,0))</f>
        <v>Василенко Владислава</v>
      </c>
      <c r="E32" s="98">
        <f>IF(ISBLANK($B32),"",VLOOKUP($B32,[1]список!$B$1:$G$544,4,0))</f>
        <v>39082</v>
      </c>
      <c r="F32" s="98" t="str">
        <f>IF(ISBLANK($B32),"",VLOOKUP($B32,[1]список!$B$1:$H$544,5,0))</f>
        <v>КМС</v>
      </c>
      <c r="G32" s="99" t="str">
        <f>IF(ISBLANK($B32),"",VLOOKUP($B32,[1]список!$B$1:$H$544,6,0))</f>
        <v>Тульская область</v>
      </c>
      <c r="H32" s="100"/>
      <c r="I32" s="100">
        <v>4.1570601851851854E-4</v>
      </c>
      <c r="J32" s="100"/>
      <c r="K32" s="126"/>
      <c r="L32" s="102"/>
      <c r="M32" s="103"/>
      <c r="N32" s="104"/>
      <c r="Q32" s="82"/>
    </row>
    <row r="33" spans="1:17" ht="22.5" customHeight="1" x14ac:dyDescent="0.2">
      <c r="A33" s="95"/>
      <c r="B33" s="121">
        <v>115</v>
      </c>
      <c r="C33" s="122">
        <f>IF(ISBLANK($B33),"",VLOOKUP($B33,[1]список!$B$1:$G$544,2,0))</f>
        <v>10091970532</v>
      </c>
      <c r="D33" s="122" t="str">
        <f>IF(ISBLANK($B33),"",VLOOKUP($B33,[1]список!$B$1:$G$544,3,0))</f>
        <v>Евланова Екатерина</v>
      </c>
      <c r="E33" s="123">
        <f>IF(ISBLANK($B33),"",VLOOKUP($B33,[1]список!$B$1:$G$544,4,0))</f>
        <v>39047</v>
      </c>
      <c r="F33" s="123" t="str">
        <f>IF(ISBLANK($B33),"",VLOOKUP($B33,[1]список!$B$1:$H$544,5,0))</f>
        <v>КМС</v>
      </c>
      <c r="G33" s="124" t="str">
        <f>IF(ISBLANK($B33),"",VLOOKUP($B33,[1]список!$B$1:$H$544,6,0))</f>
        <v>Тульская область</v>
      </c>
      <c r="H33" s="100"/>
      <c r="I33" s="100"/>
      <c r="J33" s="100"/>
      <c r="K33" s="126"/>
      <c r="L33" s="102"/>
      <c r="M33" s="109"/>
      <c r="N33" s="104"/>
      <c r="Q33" s="82"/>
    </row>
    <row r="34" spans="1:17" ht="22.5" customHeight="1" thickBot="1" x14ac:dyDescent="0.25">
      <c r="A34" s="110">
        <f>A31</f>
        <v>3</v>
      </c>
      <c r="B34" s="125">
        <v>125</v>
      </c>
      <c r="C34" s="112">
        <f>IF(ISBLANK($B34),"",VLOOKUP($B34,[1]список!$B$1:$G$544,2,0))</f>
        <v>10116899027</v>
      </c>
      <c r="D34" s="112" t="str">
        <f>IF(ISBLANK($B34),"",VLOOKUP($B34,[1]список!$B$1:$G$544,3,0))</f>
        <v>Юрченко Александра</v>
      </c>
      <c r="E34" s="113">
        <f>IF(ISBLANK($B34),"",VLOOKUP($B34,[1]список!$B$1:$G$544,4,0))</f>
        <v>39346</v>
      </c>
      <c r="F34" s="113" t="str">
        <f>IF(ISBLANK($B34),"",VLOOKUP($B34,[1]список!$B$1:$H$544,5,0))</f>
        <v>КМС</v>
      </c>
      <c r="G34" s="114" t="str">
        <f>IF(ISBLANK($B34),"",VLOOKUP($B34,[1]список!$B$1:$H$544,6,0))</f>
        <v>Тульская область</v>
      </c>
      <c r="H34" s="115"/>
      <c r="I34" s="115"/>
      <c r="J34" s="115"/>
      <c r="K34" s="127"/>
      <c r="L34" s="117"/>
      <c r="M34" s="118"/>
      <c r="N34" s="119"/>
      <c r="Q34" s="82"/>
    </row>
    <row r="35" spans="1:17" ht="22.5" customHeight="1" x14ac:dyDescent="0.2">
      <c r="A35" s="128">
        <v>4</v>
      </c>
      <c r="B35" s="129">
        <v>150</v>
      </c>
      <c r="C35" s="85">
        <f>IF(ISBLANK($B35),"",VLOOKUP($B35,[1]список!$B$1:$G$544,2,0))</f>
        <v>10112709637</v>
      </c>
      <c r="D35" s="85" t="str">
        <f>IF(ISBLANK($B35),"",VLOOKUP($B35,[1]список!$B$1:$G$544,3,0))</f>
        <v>Фарафонтова Елизавета</v>
      </c>
      <c r="E35" s="86">
        <f>IF(ISBLANK($B35),"",VLOOKUP($B35,[1]список!$B$1:$G$544,4,0))</f>
        <v>39296</v>
      </c>
      <c r="F35" s="86" t="str">
        <f>IF(ISBLANK($B35),"",VLOOKUP($B35,[1]список!$B$1:$H$544,5,0))</f>
        <v>КМС</v>
      </c>
      <c r="G35" s="87" t="str">
        <f>IF(ISBLANK($B35),"",VLOOKUP($B35,[1]список!$B$1:$H$544,6,0))</f>
        <v>Москва</v>
      </c>
      <c r="H35" s="88">
        <v>2.328587962962963E-4</v>
      </c>
      <c r="I35" s="89">
        <f>I36-H35</f>
        <v>1.7591435185185182E-4</v>
      </c>
      <c r="J35" s="90">
        <f>K35-J36</f>
        <v>5.923842592592593E-4</v>
      </c>
      <c r="K35" s="91">
        <v>5.923842592592593E-4</v>
      </c>
      <c r="L35" s="92">
        <f>0.75/(HOUR(K35)+MINUTE(K35)/60+SECOND(K35)/3600)</f>
        <v>52.941176470588239</v>
      </c>
      <c r="M35" s="93" t="str">
        <f>IF(K35&lt;=TIMEVALUE("0:47,500"),"МСМК",IF(K35&lt;=TIMEVALUE("0:48,700"),"МС",IF(K35&lt;=TIMEVALUE("0:51,500"),"КМС",IF(K35&lt;=TIMEVALUE("0:53,500"),"1 СР",IF(K35&lt;=TIMEVALUE("0:55,500"),"2 СР",IF(K35&lt;=TIMEVALUE("0:57,500"),"3 СР",IF(K35&lt;=TIMEVALUE("1:00,000"),"1 сп.юн.р.")))))))</f>
        <v>КМС</v>
      </c>
      <c r="N35" s="94" t="s">
        <v>64</v>
      </c>
      <c r="Q35" s="82"/>
    </row>
    <row r="36" spans="1:17" ht="22.5" customHeight="1" x14ac:dyDescent="0.2">
      <c r="A36" s="130">
        <f>A35</f>
        <v>4</v>
      </c>
      <c r="B36" s="131">
        <v>147</v>
      </c>
      <c r="C36" s="97">
        <f>IF(ISBLANK($B36),"",VLOOKUP($B36,[1]список!$B$1:$G$544,2,0))</f>
        <v>10102050650</v>
      </c>
      <c r="D36" s="97" t="str">
        <f>IF(ISBLANK($B36),"",VLOOKUP($B36,[1]список!$B$1:$G$544,3,0))</f>
        <v>Артемова Вера</v>
      </c>
      <c r="E36" s="98">
        <f>IF(ISBLANK($B36),"",VLOOKUP($B36,[1]список!$B$1:$G$544,4,0))</f>
        <v>38399</v>
      </c>
      <c r="F36" s="98" t="str">
        <f>IF(ISBLANK($B36),"",VLOOKUP($B36,[1]список!$B$1:$H$544,5,0))</f>
        <v>МС</v>
      </c>
      <c r="G36" s="99" t="str">
        <f>IF(ISBLANK($B36),"",VLOOKUP($B36,[1]список!$B$1:$H$544,6,0))</f>
        <v>Москва</v>
      </c>
      <c r="H36" s="100"/>
      <c r="I36" s="100">
        <v>4.0877314814814813E-4</v>
      </c>
      <c r="J36" s="100"/>
      <c r="K36" s="101"/>
      <c r="L36" s="102"/>
      <c r="M36" s="103"/>
      <c r="N36" s="104"/>
      <c r="Q36" s="82"/>
    </row>
    <row r="37" spans="1:17" ht="22.5" customHeight="1" thickBot="1" x14ac:dyDescent="0.25">
      <c r="A37" s="130"/>
      <c r="B37" s="132">
        <v>132</v>
      </c>
      <c r="C37" s="133">
        <f>IF(ISBLANK($B37),"",VLOOKUP($B37,[1]список!$B$1:$G$544,2,0))</f>
        <v>10091170179</v>
      </c>
      <c r="D37" s="133" t="str">
        <f>IF(ISBLANK($B37),"",VLOOKUP($B37,[1]список!$B$1:$G$544,3,0))</f>
        <v>Малькова Татьяна</v>
      </c>
      <c r="E37" s="134">
        <f>IF(ISBLANK($B37),"",VLOOKUP($B37,[1]список!$B$1:$G$544,4,0))</f>
        <v>38712</v>
      </c>
      <c r="F37" s="134" t="str">
        <f>IF(ISBLANK($B37),"",VLOOKUP($B37,[1]список!$B$1:$H$544,5,0))</f>
        <v>МС</v>
      </c>
      <c r="G37" s="135" t="str">
        <f>IF(ISBLANK($B37),"",VLOOKUP($B37,[1]список!$B$1:$H$544,6,0))</f>
        <v>Москва</v>
      </c>
      <c r="H37" s="115"/>
      <c r="I37" s="115"/>
      <c r="J37" s="115"/>
      <c r="K37" s="116"/>
      <c r="L37" s="117"/>
      <c r="M37" s="118"/>
      <c r="N37" s="119"/>
      <c r="Q37" s="82"/>
    </row>
    <row r="38" spans="1:17" ht="22.5" customHeight="1" x14ac:dyDescent="0.2">
      <c r="A38" s="83">
        <v>5</v>
      </c>
      <c r="B38" s="84">
        <v>63</v>
      </c>
      <c r="C38" s="85">
        <f>IF(ISBLANK($B38),"",VLOOKUP($B38,[1]список!$B$1:$G$544,2,0))</f>
        <v>10119496506</v>
      </c>
      <c r="D38" s="85" t="str">
        <f>IF(ISBLANK($B38),"",VLOOKUP($B38,[1]список!$B$1:$G$544,3,0))</f>
        <v>Колоницкая Виктория</v>
      </c>
      <c r="E38" s="86">
        <f>IF(ISBLANK($B38),"",VLOOKUP($B38,[1]список!$B$1:$G$544,4,0))</f>
        <v>39295</v>
      </c>
      <c r="F38" s="86" t="str">
        <f>IF(ISBLANK($B38),"",VLOOKUP($B38,[1]список!$B$1:$H$544,5,0))</f>
        <v>КМС</v>
      </c>
      <c r="G38" s="136" t="s">
        <v>66</v>
      </c>
      <c r="H38" s="201">
        <v>2.4880787037037037E-4</v>
      </c>
      <c r="I38" s="202">
        <f>I39-H38</f>
        <v>1.9443287037037036E-4</v>
      </c>
      <c r="J38" s="203">
        <f>K38-I39</f>
        <v>2.1152777777777777E-4</v>
      </c>
      <c r="K38" s="204">
        <v>6.547685185185185E-4</v>
      </c>
      <c r="L38" s="205">
        <f>0.75/(HOUR(K38)+MINUTE(K38)/60+SECOND(K38)/3600)</f>
        <v>47.368421052631575</v>
      </c>
      <c r="M38" s="93" t="str">
        <f>IF(K38&lt;=TIMEVALUE("0:47,500"),"МСМК",IF(K38&lt;=TIMEVALUE("0:48,700"),"МС",IF(K38&lt;=TIMEVALUE("0:51,500"),"КМС",IF(K38&lt;=TIMEVALUE("0:53,500"),"1 СР",IF(K38&lt;=TIMEVALUE("0:55,500"),"2 СР",IF(K38&lt;=TIMEVALUE("0:57,500"),"3 СР",IF(K38&lt;=TIMEVALUE("1:00,000"),"1 сп.юн.р.")))))))</f>
        <v>3 СР</v>
      </c>
      <c r="N38" s="94" t="s">
        <v>65</v>
      </c>
      <c r="Q38" s="82"/>
    </row>
    <row r="39" spans="1:17" ht="22.5" customHeight="1" x14ac:dyDescent="0.2">
      <c r="A39" s="95">
        <f>A38</f>
        <v>5</v>
      </c>
      <c r="B39" s="96">
        <v>72</v>
      </c>
      <c r="C39" s="97">
        <f>IF(ISBLANK($B39),"",VLOOKUP($B39,[1]список!$B$1:$G$544,2,0))</f>
        <v>10137550125</v>
      </c>
      <c r="D39" s="97" t="str">
        <f>IF(ISBLANK($B39),"",VLOOKUP($B39,[1]список!$B$1:$G$544,3,0))</f>
        <v>Шипилова Дарья</v>
      </c>
      <c r="E39" s="98">
        <f>IF(ISBLANK($B39),"",VLOOKUP($B39,[1]список!$B$1:$G$544,4,0))</f>
        <v>39501</v>
      </c>
      <c r="F39" s="98" t="str">
        <f>IF(ISBLANK($B39),"",VLOOKUP($B39,[1]список!$B$1:$H$544,5,0))</f>
        <v>1 СР</v>
      </c>
      <c r="G39" s="137" t="s">
        <v>66</v>
      </c>
      <c r="H39" s="100"/>
      <c r="I39" s="100">
        <v>4.4324074074074074E-4</v>
      </c>
      <c r="J39" s="100"/>
      <c r="K39" s="206"/>
      <c r="L39" s="207"/>
      <c r="M39" s="103"/>
      <c r="N39" s="104"/>
      <c r="Q39" s="82"/>
    </row>
    <row r="40" spans="1:17" ht="22.5" customHeight="1" thickBot="1" x14ac:dyDescent="0.25">
      <c r="A40" s="110">
        <f>A38</f>
        <v>5</v>
      </c>
      <c r="B40" s="138">
        <v>70</v>
      </c>
      <c r="C40" s="133">
        <f>IF(ISBLANK($B40),"",VLOOKUP($B40,[1]список!$B$1:$G$544,2,0))</f>
        <v>10137450192</v>
      </c>
      <c r="D40" s="133" t="str">
        <f>IF(ISBLANK($B40),"",VLOOKUP($B40,[1]список!$B$1:$G$544,3,0))</f>
        <v>Галкина Кристина</v>
      </c>
      <c r="E40" s="134">
        <f>IF(ISBLANK($B40),"",VLOOKUP($B40,[1]список!$B$1:$G$544,4,0))</f>
        <v>39453</v>
      </c>
      <c r="F40" s="134" t="str">
        <f>IF(ISBLANK($B40),"",VLOOKUP($B40,[1]список!$B$1:$H$544,5,0))</f>
        <v>1 СР</v>
      </c>
      <c r="G40" s="139" t="s">
        <v>66</v>
      </c>
      <c r="H40" s="115"/>
      <c r="I40" s="115"/>
      <c r="J40" s="115"/>
      <c r="K40" s="116"/>
      <c r="L40" s="117"/>
      <c r="M40" s="118"/>
      <c r="N40" s="119"/>
      <c r="Q40" s="82"/>
    </row>
    <row r="41" spans="1:17" ht="22.5" hidden="1" customHeight="1" x14ac:dyDescent="0.2">
      <c r="A41" s="83">
        <v>6</v>
      </c>
      <c r="B41" s="140"/>
      <c r="C41" s="85" t="str">
        <f>IF(ISBLANK($B41),"",VLOOKUP($B41,[1]список!$B$1:$G$544,2,0))</f>
        <v/>
      </c>
      <c r="D41" s="85" t="str">
        <f>IF(ISBLANK($B41),"",VLOOKUP($B41,[1]список!$B$1:$G$544,3,0))</f>
        <v/>
      </c>
      <c r="E41" s="86" t="str">
        <f>IF(ISBLANK($B41),"",VLOOKUP($B41,[1]список!$B$1:$G$544,4,0))</f>
        <v/>
      </c>
      <c r="F41" s="86" t="str">
        <f>IF(ISBLANK($B41),"",VLOOKUP($B41,[1]список!$B$1:$H$544,5,0))</f>
        <v/>
      </c>
      <c r="G41" s="87" t="str">
        <f>IF(ISBLANK($B41),"",VLOOKUP($B41,[1]список!$B$1:$H$544,6,0))</f>
        <v/>
      </c>
      <c r="H41" s="88"/>
      <c r="I41" s="89">
        <f>I42-H41</f>
        <v>0</v>
      </c>
      <c r="J41" s="90">
        <f>K41-J42</f>
        <v>0</v>
      </c>
      <c r="K41" s="91"/>
      <c r="L41" s="141"/>
      <c r="M41" s="93" t="str">
        <f>IF(K41&lt;=TIMEVALUE("0:47,500"),"МСМК",IF(K41&lt;=TIMEVALUE("0:48,700"),"МС",IF(K41&lt;=TIMEVALUE("0:51,500"),"КМС",IF(K41&lt;=TIMEVALUE("0:53,500"),"1 СР",IF(K41&lt;=TIMEVALUE("0:55,500"),"2 СР",IF(K41&lt;=TIMEVALUE("0:57,500"),"3 СР",IF(K41&lt;=TIMEVALUE("1:00,000"),"1 сп.юн.р.")))))))</f>
        <v>МСМК</v>
      </c>
      <c r="N41" s="94"/>
      <c r="Q41" s="82"/>
    </row>
    <row r="42" spans="1:17" ht="22.5" hidden="1" customHeight="1" x14ac:dyDescent="0.2">
      <c r="A42" s="95">
        <f>A41</f>
        <v>6</v>
      </c>
      <c r="B42" s="142"/>
      <c r="C42" s="97" t="str">
        <f>IF(ISBLANK($B42),"",VLOOKUP($B42,[1]список!$B$1:$G$544,2,0))</f>
        <v/>
      </c>
      <c r="D42" s="97" t="str">
        <f>IF(ISBLANK($B42),"",VLOOKUP($B42,[1]список!$B$1:$G$544,3,0))</f>
        <v/>
      </c>
      <c r="E42" s="98" t="str">
        <f>IF(ISBLANK($B42),"",VLOOKUP($B42,[1]список!$B$1:$G$544,4,0))</f>
        <v/>
      </c>
      <c r="F42" s="98" t="str">
        <f>IF(ISBLANK($B42),"",VLOOKUP($B42,[1]список!$B$1:$H$544,5,0))</f>
        <v/>
      </c>
      <c r="G42" s="99" t="str">
        <f>IF(ISBLANK($B42),"",VLOOKUP($B42,[1]список!$B$1:$H$544,6,0))</f>
        <v/>
      </c>
      <c r="H42" s="100"/>
      <c r="I42" s="100"/>
      <c r="J42" s="100"/>
      <c r="K42" s="101"/>
      <c r="L42" s="102">
        <f>L41</f>
        <v>0</v>
      </c>
      <c r="M42" s="103"/>
      <c r="N42" s="104">
        <f>N41</f>
        <v>0</v>
      </c>
      <c r="Q42" s="82"/>
    </row>
    <row r="43" spans="1:17" ht="22.5" hidden="1" customHeight="1" x14ac:dyDescent="0.2">
      <c r="A43" s="110">
        <f>A41</f>
        <v>6</v>
      </c>
      <c r="B43" s="143"/>
      <c r="C43" s="133" t="str">
        <f>IF(ISBLANK($B43),"",VLOOKUP($B43,[1]список!$B$1:$G$544,2,0))</f>
        <v/>
      </c>
      <c r="D43" s="133" t="str">
        <f>IF(ISBLANK($B43),"",VLOOKUP($B43,[1]список!$B$1:$G$544,3,0))</f>
        <v/>
      </c>
      <c r="E43" s="134" t="str">
        <f>IF(ISBLANK($B43),"",VLOOKUP($B43,[1]список!$B$1:$G$544,4,0))</f>
        <v/>
      </c>
      <c r="F43" s="134" t="str">
        <f>IF(ISBLANK($B43),"",VLOOKUP($B43,[1]список!$B$1:$H$544,5,0))</f>
        <v/>
      </c>
      <c r="G43" s="135" t="str">
        <f>IF(ISBLANK($B43),"",VLOOKUP($B43,[1]список!$B$1:$H$544,6,0))</f>
        <v/>
      </c>
      <c r="H43" s="127"/>
      <c r="I43" s="127"/>
      <c r="J43" s="127"/>
      <c r="K43" s="127">
        <f>K41</f>
        <v>0</v>
      </c>
      <c r="L43" s="117">
        <f>L41</f>
        <v>0</v>
      </c>
      <c r="M43" s="118"/>
      <c r="N43" s="119">
        <f>N41</f>
        <v>0</v>
      </c>
    </row>
    <row r="44" spans="1:17" ht="16.5" thickBot="1" x14ac:dyDescent="0.25">
      <c r="A44" s="144"/>
      <c r="B44" s="145"/>
      <c r="C44" s="145"/>
      <c r="D44" s="146"/>
      <c r="E44" s="147"/>
      <c r="F44" s="148"/>
      <c r="G44" s="149"/>
      <c r="H44" s="150"/>
      <c r="I44" s="150"/>
      <c r="J44" s="150"/>
      <c r="K44" s="150"/>
      <c r="L44" s="151"/>
      <c r="M44" s="152"/>
      <c r="N44" s="153"/>
    </row>
    <row r="45" spans="1:17" ht="15.75" thickTop="1" x14ac:dyDescent="0.2">
      <c r="A45" s="154" t="s">
        <v>42</v>
      </c>
      <c r="B45" s="155"/>
      <c r="C45" s="155"/>
      <c r="D45" s="155"/>
      <c r="E45" s="156"/>
      <c r="F45" s="156"/>
      <c r="G45" s="156" t="s">
        <v>43</v>
      </c>
      <c r="H45" s="156"/>
      <c r="I45" s="156"/>
      <c r="J45" s="156"/>
      <c r="K45" s="156"/>
      <c r="L45" s="155"/>
      <c r="M45" s="155"/>
      <c r="N45" s="157"/>
    </row>
    <row r="46" spans="1:17" x14ac:dyDescent="0.2">
      <c r="A46" s="158" t="s">
        <v>44</v>
      </c>
      <c r="B46" s="159"/>
      <c r="C46" s="160"/>
      <c r="D46" s="161"/>
      <c r="E46" s="162"/>
      <c r="F46" s="163"/>
      <c r="G46" s="164" t="s">
        <v>45</v>
      </c>
      <c r="H46" s="165">
        <v>3</v>
      </c>
      <c r="I46" s="166" t="s">
        <v>46</v>
      </c>
      <c r="J46" s="167">
        <f>COUNTIF(F5:F61,"ЗМС")</f>
        <v>0</v>
      </c>
      <c r="K46" s="164"/>
      <c r="L46" s="168"/>
      <c r="M46" s="169"/>
      <c r="N46" s="170"/>
    </row>
    <row r="47" spans="1:17" x14ac:dyDescent="0.2">
      <c r="A47" s="163" t="s">
        <v>47</v>
      </c>
      <c r="B47" s="159"/>
      <c r="C47" s="171"/>
      <c r="D47" s="161"/>
      <c r="E47" s="162"/>
      <c r="F47" s="163"/>
      <c r="G47" s="172" t="s">
        <v>48</v>
      </c>
      <c r="H47" s="165">
        <v>5</v>
      </c>
      <c r="I47" s="166" t="s">
        <v>49</v>
      </c>
      <c r="J47" s="167">
        <f>COUNTIF(F5:F61,"МСМК")</f>
        <v>0</v>
      </c>
      <c r="K47" s="172"/>
      <c r="L47" s="168"/>
      <c r="M47" s="169"/>
      <c r="N47" s="170"/>
      <c r="Q47" s="82"/>
    </row>
    <row r="48" spans="1:17" x14ac:dyDescent="0.2">
      <c r="A48" s="158"/>
      <c r="B48" s="159"/>
      <c r="C48" s="173"/>
      <c r="D48" s="161"/>
      <c r="E48" s="162"/>
      <c r="F48" s="163"/>
      <c r="G48" s="172" t="s">
        <v>50</v>
      </c>
      <c r="H48" s="165">
        <v>5</v>
      </c>
      <c r="I48" s="166" t="s">
        <v>51</v>
      </c>
      <c r="J48" s="167">
        <f>COUNTIF(F5:F61,"МС")</f>
        <v>4</v>
      </c>
      <c r="K48" s="172"/>
      <c r="L48" s="168"/>
      <c r="M48" s="169"/>
      <c r="N48" s="170"/>
      <c r="Q48" s="82"/>
    </row>
    <row r="49" spans="1:17" x14ac:dyDescent="0.2">
      <c r="A49" s="158"/>
      <c r="B49" s="159"/>
      <c r="C49" s="173"/>
      <c r="D49" s="161"/>
      <c r="E49" s="162"/>
      <c r="F49" s="163"/>
      <c r="G49" s="172" t="s">
        <v>52</v>
      </c>
      <c r="H49" s="165">
        <v>5</v>
      </c>
      <c r="I49" s="166" t="s">
        <v>53</v>
      </c>
      <c r="J49" s="167">
        <f>COUNTIF(F5:F61,"КМС")</f>
        <v>11</v>
      </c>
      <c r="K49" s="172"/>
      <c r="L49" s="168"/>
      <c r="M49" s="169"/>
      <c r="N49" s="170"/>
      <c r="Q49" s="82"/>
    </row>
    <row r="50" spans="1:17" x14ac:dyDescent="0.2">
      <c r="A50" s="158"/>
      <c r="B50" s="159"/>
      <c r="C50" s="173"/>
      <c r="D50" s="161"/>
      <c r="E50" s="162"/>
      <c r="F50" s="163"/>
      <c r="G50" s="172" t="s">
        <v>54</v>
      </c>
      <c r="H50" s="165">
        <f>COUNTIF(B5:B61,"НФ")</f>
        <v>0</v>
      </c>
      <c r="I50" s="166" t="s">
        <v>55</v>
      </c>
      <c r="J50" s="167">
        <f>COUNTIF(F5:F61,"1 СР")</f>
        <v>2</v>
      </c>
      <c r="K50" s="172"/>
      <c r="L50" s="168"/>
      <c r="M50" s="169"/>
      <c r="N50" s="170"/>
      <c r="Q50" s="82"/>
    </row>
    <row r="51" spans="1:17" x14ac:dyDescent="0.2">
      <c r="A51" s="158"/>
      <c r="B51" s="159"/>
      <c r="C51" s="159"/>
      <c r="D51" s="161"/>
      <c r="E51" s="162"/>
      <c r="F51" s="163"/>
      <c r="G51" s="172" t="s">
        <v>56</v>
      </c>
      <c r="H51" s="165">
        <f>COUNTIF(B5:B61,"ДСКВ")</f>
        <v>0</v>
      </c>
      <c r="I51" s="174" t="s">
        <v>57</v>
      </c>
      <c r="J51" s="167">
        <f>COUNTIF(F5:F61,"2 СР")</f>
        <v>1</v>
      </c>
      <c r="K51" s="172"/>
      <c r="L51" s="168"/>
      <c r="M51" s="175"/>
      <c r="N51" s="170"/>
    </row>
    <row r="52" spans="1:17" x14ac:dyDescent="0.2">
      <c r="A52" s="158"/>
      <c r="B52" s="159"/>
      <c r="C52" s="159"/>
      <c r="D52" s="161"/>
      <c r="E52" s="162"/>
      <c r="F52" s="163"/>
      <c r="G52" s="172" t="s">
        <v>58</v>
      </c>
      <c r="H52" s="165">
        <f>COUNTIF(B5:B61,"НС")</f>
        <v>0</v>
      </c>
      <c r="I52" s="174" t="s">
        <v>59</v>
      </c>
      <c r="J52" s="167">
        <f>COUNTIF(F5:F61,"3 СР")</f>
        <v>0</v>
      </c>
      <c r="K52" s="172"/>
      <c r="L52" s="168"/>
      <c r="M52" s="175"/>
      <c r="N52" s="170"/>
    </row>
    <row r="53" spans="1:17" x14ac:dyDescent="0.2">
      <c r="A53" s="176"/>
      <c r="B53" s="177"/>
      <c r="C53" s="177"/>
      <c r="D53" s="178"/>
      <c r="E53" s="179"/>
      <c r="F53" s="178"/>
      <c r="G53" s="178"/>
      <c r="H53" s="180"/>
      <c r="I53" s="180"/>
      <c r="J53" s="180"/>
      <c r="K53" s="180"/>
      <c r="L53" s="181"/>
      <c r="M53" s="178"/>
      <c r="N53" s="182"/>
    </row>
    <row r="54" spans="1:17" ht="14.45" customHeight="1" x14ac:dyDescent="0.2">
      <c r="A54" s="183" t="s">
        <v>60</v>
      </c>
      <c r="B54" s="184"/>
      <c r="C54" s="184"/>
      <c r="D54" s="184" t="s">
        <v>61</v>
      </c>
      <c r="E54" s="184"/>
      <c r="F54" s="184"/>
      <c r="G54" s="184" t="s">
        <v>62</v>
      </c>
      <c r="H54" s="184"/>
      <c r="I54" s="184"/>
      <c r="J54" s="185" t="s">
        <v>63</v>
      </c>
      <c r="K54" s="185"/>
      <c r="L54" s="185"/>
      <c r="M54" s="185"/>
      <c r="N54" s="186"/>
    </row>
    <row r="55" spans="1:17" x14ac:dyDescent="0.2">
      <c r="A55" s="187"/>
      <c r="B55" s="188"/>
      <c r="C55" s="188"/>
      <c r="D55" s="188"/>
      <c r="E55" s="188"/>
      <c r="F55" s="189"/>
      <c r="G55" s="189"/>
      <c r="H55" s="190"/>
      <c r="I55" s="190"/>
      <c r="J55" s="190"/>
      <c r="K55" s="190"/>
      <c r="L55" s="178"/>
      <c r="M55" s="178"/>
      <c r="N55" s="182"/>
    </row>
    <row r="56" spans="1:17" x14ac:dyDescent="0.2">
      <c r="A56" s="191"/>
      <c r="B56" s="192"/>
      <c r="C56" s="192"/>
      <c r="D56" s="192"/>
      <c r="E56" s="193"/>
      <c r="F56" s="177"/>
      <c r="G56" s="177"/>
      <c r="H56" s="192"/>
      <c r="I56" s="192"/>
      <c r="J56" s="194"/>
      <c r="K56" s="194"/>
      <c r="L56" s="177"/>
      <c r="M56" s="177"/>
      <c r="N56" s="195"/>
    </row>
    <row r="57" spans="1:17" x14ac:dyDescent="0.2">
      <c r="A57" s="191"/>
      <c r="B57" s="192"/>
      <c r="C57" s="192"/>
      <c r="D57" s="192"/>
      <c r="E57" s="193"/>
      <c r="F57" s="177"/>
      <c r="G57" s="177"/>
      <c r="H57" s="192"/>
      <c r="I57" s="192"/>
      <c r="J57" s="194"/>
      <c r="K57" s="194"/>
      <c r="L57" s="177"/>
      <c r="M57" s="177"/>
      <c r="N57" s="195"/>
    </row>
    <row r="58" spans="1:17" x14ac:dyDescent="0.2">
      <c r="A58" s="191"/>
      <c r="B58" s="192"/>
      <c r="C58" s="192"/>
      <c r="D58" s="192"/>
      <c r="E58" s="193"/>
      <c r="F58" s="177"/>
      <c r="G58" s="177"/>
      <c r="H58" s="192"/>
      <c r="I58" s="192"/>
      <c r="J58" s="194"/>
      <c r="K58" s="194"/>
      <c r="L58" s="177"/>
      <c r="M58" s="177"/>
      <c r="N58" s="195"/>
    </row>
    <row r="59" spans="1:17" x14ac:dyDescent="0.2">
      <c r="A59" s="191"/>
      <c r="B59" s="192"/>
      <c r="C59" s="192"/>
      <c r="D59" s="192"/>
      <c r="E59" s="193"/>
      <c r="F59" s="177"/>
      <c r="G59" s="177"/>
      <c r="H59" s="192"/>
      <c r="I59" s="192"/>
      <c r="J59" s="194"/>
      <c r="K59" s="194"/>
      <c r="L59" s="181"/>
      <c r="M59" s="178"/>
      <c r="N59" s="195"/>
    </row>
    <row r="60" spans="1:17" ht="13.5" thickBot="1" x14ac:dyDescent="0.25">
      <c r="A60" s="196" t="s">
        <v>2</v>
      </c>
      <c r="B60" s="197"/>
      <c r="C60" s="197"/>
      <c r="D60" s="197" t="str">
        <f>G17</f>
        <v>Михайлова И.Н. (ВК, Санкт-Петербург)</v>
      </c>
      <c r="E60" s="197"/>
      <c r="F60" s="197"/>
      <c r="G60" s="198" t="str">
        <f>G18</f>
        <v>Валова А.С. (ВК, Санкт-Петербург)</v>
      </c>
      <c r="H60" s="198"/>
      <c r="I60" s="198"/>
      <c r="J60" s="199" t="str">
        <f>G19</f>
        <v>Соловьев Г.Н. (ВК, Санкт-Петербург)</v>
      </c>
      <c r="K60" s="199"/>
      <c r="L60" s="199"/>
      <c r="M60" s="199"/>
      <c r="N60" s="200"/>
    </row>
    <row r="61" spans="1:17" ht="13.5" thickTop="1" x14ac:dyDescent="0.2"/>
  </sheetData>
  <mergeCells count="42">
    <mergeCell ref="A55:E55"/>
    <mergeCell ref="A60:C60"/>
    <mergeCell ref="D60:F60"/>
    <mergeCell ref="G60:I60"/>
    <mergeCell ref="J60:N60"/>
    <mergeCell ref="L21:L22"/>
    <mergeCell ref="M21:M22"/>
    <mergeCell ref="N21:N22"/>
    <mergeCell ref="A45:D45"/>
    <mergeCell ref="L45:N45"/>
    <mergeCell ref="A54:C54"/>
    <mergeCell ref="D54:F54"/>
    <mergeCell ref="G54:I54"/>
    <mergeCell ref="J54:N54"/>
    <mergeCell ref="H18:N18"/>
    <mergeCell ref="A21:A22"/>
    <mergeCell ref="B21:B22"/>
    <mergeCell ref="C21:C22"/>
    <mergeCell ref="D21:D22"/>
    <mergeCell ref="E21:E22"/>
    <mergeCell ref="F21:F22"/>
    <mergeCell ref="G21:G22"/>
    <mergeCell ref="H21:J21"/>
    <mergeCell ref="K21:K22"/>
    <mergeCell ref="A13:D13"/>
    <mergeCell ref="A14:D14"/>
    <mergeCell ref="A15:G15"/>
    <mergeCell ref="H15:N15"/>
    <mergeCell ref="H16:N16"/>
    <mergeCell ref="H17:N17"/>
    <mergeCell ref="A7:N7"/>
    <mergeCell ref="A8:N8"/>
    <mergeCell ref="A9:N9"/>
    <mergeCell ref="A10:N10"/>
    <mergeCell ref="A11:N11"/>
    <mergeCell ref="A12:N12"/>
    <mergeCell ref="A1:N1"/>
    <mergeCell ref="A2:N2"/>
    <mergeCell ref="A3:N3"/>
    <mergeCell ref="A4:N4"/>
    <mergeCell ref="A5:N5"/>
    <mergeCell ref="A6:N6"/>
  </mergeCells>
  <pageMargins left="0.23622047244094488" right="0.23622047244094488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спринт юниорки 17-18 кв (2</vt:lpstr>
      <vt:lpstr>'ком спринт юниорки 17-18 кв (2'!Область_печати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2023-06-08T16:15:21Z</dcterms:created>
  <dcterms:modified xsi:type="dcterms:W3CDTF">2023-06-08T16:16:24Z</dcterms:modified>
</cp:coreProperties>
</file>