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Омниум итог юниорки" sheetId="1" r:id="rId1"/>
  </sheets>
  <externalReferences>
    <externalReference r:id="rId2"/>
  </externalReferences>
  <definedNames>
    <definedName name="_xlnm.Print_Area" localSheetId="0">'Омниум итог юниорки'!$A$1:$AH$64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AE24" i="1"/>
  <c r="AB64" i="1"/>
  <c r="L64" i="1"/>
  <c r="F64" i="1"/>
  <c r="H56" i="1"/>
  <c r="H55" i="1"/>
  <c r="H54" i="1"/>
  <c r="H53" i="1"/>
  <c r="G45" i="1"/>
  <c r="F45" i="1"/>
  <c r="E45" i="1"/>
  <c r="D45" i="1"/>
  <c r="C45" i="1"/>
  <c r="G44" i="1"/>
  <c r="F44" i="1"/>
  <c r="E44" i="1"/>
  <c r="D44" i="1"/>
  <c r="C44" i="1"/>
  <c r="AE43" i="1"/>
  <c r="G43" i="1"/>
  <c r="F43" i="1"/>
  <c r="E43" i="1"/>
  <c r="D43" i="1"/>
  <c r="C43" i="1"/>
  <c r="AE42" i="1"/>
  <c r="G42" i="1"/>
  <c r="F42" i="1"/>
  <c r="E42" i="1"/>
  <c r="D42" i="1"/>
  <c r="C42" i="1"/>
  <c r="AE41" i="1"/>
  <c r="G41" i="1"/>
  <c r="F41" i="1"/>
  <c r="E41" i="1"/>
  <c r="D41" i="1"/>
  <c r="C41" i="1"/>
  <c r="AE40" i="1"/>
  <c r="G40" i="1"/>
  <c r="F40" i="1"/>
  <c r="E40" i="1"/>
  <c r="D40" i="1"/>
  <c r="C40" i="1"/>
  <c r="AE39" i="1"/>
  <c r="G39" i="1"/>
  <c r="F39" i="1"/>
  <c r="E39" i="1"/>
  <c r="D39" i="1"/>
  <c r="C39" i="1"/>
  <c r="AE38" i="1"/>
  <c r="G38" i="1"/>
  <c r="F38" i="1"/>
  <c r="E38" i="1"/>
  <c r="D38" i="1"/>
  <c r="C38" i="1"/>
  <c r="AE37" i="1"/>
  <c r="G37" i="1"/>
  <c r="F37" i="1"/>
  <c r="E37" i="1"/>
  <c r="D37" i="1"/>
  <c r="C37" i="1"/>
  <c r="AE36" i="1"/>
  <c r="G36" i="1"/>
  <c r="F36" i="1"/>
  <c r="E36" i="1"/>
  <c r="D36" i="1"/>
  <c r="C36" i="1"/>
  <c r="AE35" i="1"/>
  <c r="G35" i="1"/>
  <c r="F35" i="1"/>
  <c r="E35" i="1"/>
  <c r="D35" i="1"/>
  <c r="C35" i="1"/>
  <c r="AE34" i="1"/>
  <c r="G34" i="1"/>
  <c r="F34" i="1"/>
  <c r="E34" i="1"/>
  <c r="D34" i="1"/>
  <c r="C34" i="1"/>
  <c r="AE33" i="1"/>
  <c r="G33" i="1"/>
  <c r="F33" i="1"/>
  <c r="E33" i="1"/>
  <c r="D33" i="1"/>
  <c r="C33" i="1"/>
  <c r="AE32" i="1"/>
  <c r="G32" i="1"/>
  <c r="F32" i="1"/>
  <c r="E32" i="1"/>
  <c r="D32" i="1"/>
  <c r="C32" i="1"/>
  <c r="AE31" i="1"/>
  <c r="G31" i="1"/>
  <c r="F31" i="1"/>
  <c r="E31" i="1"/>
  <c r="D31" i="1"/>
  <c r="C31" i="1"/>
  <c r="AE30" i="1"/>
  <c r="G30" i="1"/>
  <c r="F30" i="1"/>
  <c r="E30" i="1"/>
  <c r="D30" i="1"/>
  <c r="C30" i="1"/>
  <c r="AE29" i="1"/>
  <c r="G29" i="1"/>
  <c r="F29" i="1"/>
  <c r="E29" i="1"/>
  <c r="D29" i="1"/>
  <c r="C29" i="1"/>
  <c r="AE28" i="1"/>
  <c r="G28" i="1"/>
  <c r="F28" i="1"/>
  <c r="E28" i="1"/>
  <c r="D28" i="1"/>
  <c r="C28" i="1"/>
  <c r="AE27" i="1"/>
  <c r="G27" i="1"/>
  <c r="F27" i="1"/>
  <c r="E27" i="1"/>
  <c r="D27" i="1"/>
  <c r="C27" i="1"/>
  <c r="AE26" i="1"/>
  <c r="G26" i="1"/>
  <c r="F26" i="1"/>
  <c r="E26" i="1"/>
  <c r="D26" i="1"/>
  <c r="C26" i="1"/>
  <c r="AE25" i="1"/>
  <c r="G25" i="1"/>
  <c r="F25" i="1"/>
  <c r="E25" i="1"/>
  <c r="D25" i="1"/>
  <c r="C25" i="1"/>
  <c r="AH53" i="1"/>
  <c r="J14" i="1"/>
  <c r="AH54" i="1" l="1"/>
  <c r="H52" i="1"/>
  <c r="H51" i="1" s="1"/>
  <c r="AH50" i="1"/>
  <c r="AH51" i="1"/>
  <c r="AH55" i="1"/>
  <c r="AH52" i="1"/>
  <c r="AH56" i="1"/>
</calcChain>
</file>

<file path=xl/sharedStrings.xml><?xml version="1.0" encoding="utf-8"?>
<sst xmlns="http://schemas.openxmlformats.org/spreadsheetml/2006/main" count="81" uniqueCount="70">
  <si>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</si>
  <si>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</si>
  <si>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</si>
  <si>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</si>
  <si>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</si>
  <si>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</si>
  <si>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омниум</t>
  </si>
  <si>
    <t>Юниорки 17-18 лет</t>
  </si>
  <si>
    <t>МЕСТО ПРОВЕДЕНИЯ: г. Санкт-Петербург</t>
  </si>
  <si>
    <t>ВРЕМЯ ГОНКИ:</t>
  </si>
  <si>
    <t>№ ВРВС: 0080481611Я</t>
  </si>
  <si>
    <t>ДАТА ПРОВЕДЕНИЯ: 11 Июня 2023 года</t>
  </si>
  <si>
    <t>СР.СКОРОСТЬ:</t>
  </si>
  <si>
    <t>№ ЕКП 2023: 26273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</si>
  <si>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</si>
  <si>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</si>
  <si>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</si>
  <si>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</si>
  <si>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</si>
  <si>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</si>
  <si>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</si>
  <si>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</si>
  <si>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</si>
  <si>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</si>
  <si>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</si>
  <si>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</si>
  <si>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</si>
  <si>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</si>
  <si>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</si>
  <si>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</si>
  <si>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</si>
  <si>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</si>
  <si>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</si>
  <si>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</si>
  <si>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</si>
  <si>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</si>
  <si>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</si>
  <si>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</si>
  <si>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</si>
  <si>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</si>
  <si>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</si>
  <si>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</si>
  <si>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</si>
  <si>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</si>
  <si>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</si>
  <si>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</si>
  <si>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</si>
  <si>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</si>
  <si>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</si>
  <si>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НФ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</si>
  <si>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</si>
  <si>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</si>
  <si>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</si>
  <si>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</si>
  <si>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</si>
  <si>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52 %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</si>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</sst>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00"/>
    <numFmt numFmtId="165" formatCode="h:mm:ss.00"/>
    <numFmt numFmtId="166" formatCode="yyyy"/>
  </numFmts>
  <fonts count="19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14" fontId="9" fillId="3" borderId="24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" fontId="13" fillId="0" borderId="27" xfId="2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 wrapText="1"/>
    </xf>
    <xf numFmtId="0" fontId="17" fillId="0" borderId="29" xfId="3" applyFont="1" applyBorder="1" applyAlignment="1">
      <alignment vertical="center" wrapText="1"/>
    </xf>
    <xf numFmtId="14" fontId="17" fillId="0" borderId="29" xfId="2" applyNumberFormat="1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1" fontId="17" fillId="0" borderId="29" xfId="2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1" fontId="17" fillId="0" borderId="27" xfId="2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 wrapText="1"/>
    </xf>
    <xf numFmtId="0" fontId="17" fillId="0" borderId="32" xfId="3" applyFont="1" applyBorder="1" applyAlignment="1">
      <alignment vertical="center" wrapText="1"/>
    </xf>
    <xf numFmtId="14" fontId="17" fillId="0" borderId="32" xfId="2" applyNumberFormat="1" applyFont="1" applyBorder="1" applyAlignment="1">
      <alignment horizontal="center" vertical="center" wrapText="1"/>
    </xf>
    <xf numFmtId="166" fontId="16" fillId="0" borderId="32" xfId="0" applyNumberFormat="1" applyFont="1" applyBorder="1" applyAlignment="1">
      <alignment horizontal="center" vertical="center" wrapText="1"/>
    </xf>
    <xf numFmtId="0" fontId="17" fillId="0" borderId="32" xfId="2" applyFont="1" applyBorder="1" applyAlignment="1">
      <alignment horizontal="center" vertical="center" wrapText="1"/>
    </xf>
    <xf numFmtId="1" fontId="17" fillId="0" borderId="32" xfId="2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</cellXfs>
  <cellStyles count="5">
    <cellStyle name="Обычный" xfId="0" builtinId="0"/>
    <cellStyle name="Обычный 2 4" xfId="4"/>
    <cellStyle name="Обычный_ID4938_RS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19050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228600</xdr:colOff>
      <xdr:row>5</xdr:row>
      <xdr:rowOff>104775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19075"/>
          <a:ext cx="685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1029759</xdr:colOff>
      <xdr:row>57</xdr:row>
      <xdr:rowOff>105833</xdr:rowOff>
    </xdr:from>
    <xdr:to>
      <xdr:col>8</xdr:col>
      <xdr:colOff>305859</xdr:colOff>
      <xdr:row>63</xdr:row>
      <xdr:rowOff>35984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959" y="10716683"/>
          <a:ext cx="1447800" cy="101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571501</xdr:colOff>
      <xdr:row>58</xdr:row>
      <xdr:rowOff>28575</xdr:rowOff>
    </xdr:from>
    <xdr:to>
      <xdr:col>31</xdr:col>
      <xdr:colOff>501651</xdr:colOff>
      <xdr:row>63</xdr:row>
      <xdr:rowOff>161925</xdr:rowOff>
    </xdr:to>
    <xdr:pic>
      <xdr:nvPicPr>
        <xdr:cNvPr id="5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10839450"/>
          <a:ext cx="1797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169334</xdr:colOff>
      <xdr:row>58</xdr:row>
      <xdr:rowOff>87842</xdr:rowOff>
    </xdr:from>
    <xdr:to>
      <xdr:col>14</xdr:col>
      <xdr:colOff>138641</xdr:colOff>
      <xdr:row>62</xdr:row>
      <xdr:rowOff>113242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0534" y="10898717"/>
          <a:ext cx="1150407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выб муж.  (5)"/>
      <sheetName val="выб жен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список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65"/>
  <sheetViews>
    <sheetView tabSelected="1" zoomScale="90" zoomScaleNormal="90" workbookViewId="0">
      <selection activeCell="D34" sqref="D34"/>
    </sheetView>
  </sheetViews>
  <sheetFormatPr defaultRowHeight="12.75" x14ac:dyDescent="0.2"/>
  <cols>
    <col min="3" max="3" width="14" customWidth="1"/>
    <col min="4" max="4" width="21.28515625" customWidth="1"/>
    <col min="5" max="5" width="12.7109375" customWidth="1"/>
    <col min="7" max="7" width="23.42578125" customWidth="1"/>
    <col min="11" max="16" width="8.85546875" customWidth="1"/>
    <col min="17" max="27" width="3.5703125" hidden="1" customWidth="1"/>
    <col min="31" max="31" width="9.7109375" customWidth="1"/>
    <col min="34" max="34" width="13.85546875" customWidth="1"/>
  </cols>
  <sheetData>
    <row r="1" spans="1:34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4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9" customHeight="1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6.2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9.6" customHeight="1" thickBot="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</row>
    <row r="10" spans="1:34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18.75" x14ac:dyDescent="0.2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.6" customHeight="1" x14ac:dyDescent="0.2">
      <c r="A12" s="1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5.75" x14ac:dyDescent="0.2">
      <c r="A13" s="15" t="s">
        <v>8</v>
      </c>
      <c r="B13" s="16"/>
      <c r="C13" s="17"/>
      <c r="D13" s="18"/>
      <c r="E13" s="19"/>
      <c r="F13" s="20"/>
      <c r="G13" s="21"/>
      <c r="H13" s="22" t="s">
        <v>9</v>
      </c>
      <c r="I13" s="23"/>
      <c r="J13" s="23">
        <v>1.4176967592592593E-2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4"/>
      <c r="AH13" s="25" t="s">
        <v>10</v>
      </c>
    </row>
    <row r="14" spans="1:34" ht="15.75" x14ac:dyDescent="0.2">
      <c r="A14" s="26" t="s">
        <v>11</v>
      </c>
      <c r="B14" s="27"/>
      <c r="C14" s="27"/>
      <c r="D14" s="28"/>
      <c r="E14" s="29"/>
      <c r="F14" s="30"/>
      <c r="G14" s="31"/>
      <c r="H14" s="32" t="s">
        <v>12</v>
      </c>
      <c r="I14" s="33"/>
      <c r="J14" s="33">
        <f>AC19*0.25/(HOUR(J13)+MINUTE(J13)/60+SECOND(J13)/3600)</f>
        <v>44.081632653061227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4"/>
      <c r="AH14" s="35" t="s">
        <v>13</v>
      </c>
    </row>
    <row r="15" spans="1:34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0"/>
    </row>
    <row r="16" spans="1:34" ht="15" x14ac:dyDescent="0.2">
      <c r="A16" s="41" t="s">
        <v>16</v>
      </c>
      <c r="B16" s="42"/>
      <c r="C16" s="42"/>
      <c r="D16" s="43"/>
      <c r="E16" s="44"/>
      <c r="F16" s="43"/>
      <c r="G16" s="45" t="s">
        <v>2</v>
      </c>
      <c r="H16" s="46" t="s">
        <v>17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8"/>
    </row>
    <row r="17" spans="1:34" ht="15" x14ac:dyDescent="0.2">
      <c r="A17" s="41" t="s">
        <v>18</v>
      </c>
      <c r="B17" s="42"/>
      <c r="C17" s="42"/>
      <c r="D17" s="49"/>
      <c r="E17" s="50"/>
      <c r="F17" s="49"/>
      <c r="G17" s="51" t="s">
        <v>19</v>
      </c>
      <c r="H17" s="52" t="s">
        <v>20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1:34" ht="15" x14ac:dyDescent="0.2">
      <c r="A18" s="41" t="s">
        <v>21</v>
      </c>
      <c r="B18" s="42"/>
      <c r="C18" s="42"/>
      <c r="D18" s="45"/>
      <c r="E18" s="44"/>
      <c r="F18" s="43"/>
      <c r="G18" s="51" t="s">
        <v>22</v>
      </c>
      <c r="H18" s="52" t="s">
        <v>23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</row>
    <row r="19" spans="1:34" ht="15.75" thickBot="1" x14ac:dyDescent="0.25">
      <c r="A19" s="55" t="s">
        <v>24</v>
      </c>
      <c r="B19" s="56"/>
      <c r="C19" s="56"/>
      <c r="D19" s="57"/>
      <c r="E19" s="58"/>
      <c r="F19" s="59"/>
      <c r="G19" s="60" t="s">
        <v>25</v>
      </c>
      <c r="H19" s="61" t="s">
        <v>26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>
        <v>60</v>
      </c>
      <c r="AD19" s="63"/>
      <c r="AE19" s="63"/>
      <c r="AF19" s="63"/>
      <c r="AG19" s="63"/>
      <c r="AH19" s="65"/>
    </row>
    <row r="20" spans="1:34" ht="14.25" thickTop="1" thickBot="1" x14ac:dyDescent="0.25">
      <c r="A20" s="66"/>
      <c r="B20" s="67"/>
      <c r="C20" s="67"/>
      <c r="D20" s="66"/>
      <c r="E20" s="68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13.5" thickTop="1" x14ac:dyDescent="0.2">
      <c r="A21" s="69" t="s">
        <v>27</v>
      </c>
      <c r="B21" s="70" t="s">
        <v>28</v>
      </c>
      <c r="C21" s="70" t="s">
        <v>29</v>
      </c>
      <c r="D21" s="70" t="s">
        <v>30</v>
      </c>
      <c r="E21" s="71" t="s">
        <v>31</v>
      </c>
      <c r="F21" s="70" t="s">
        <v>32</v>
      </c>
      <c r="G21" s="70" t="s">
        <v>33</v>
      </c>
      <c r="H21" s="72" t="s">
        <v>34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0" t="s">
        <v>35</v>
      </c>
      <c r="AC21" s="73" t="s">
        <v>36</v>
      </c>
      <c r="AD21" s="73"/>
      <c r="AE21" s="70" t="s">
        <v>37</v>
      </c>
      <c r="AF21" s="70" t="s">
        <v>38</v>
      </c>
      <c r="AG21" s="74" t="s">
        <v>39</v>
      </c>
      <c r="AH21" s="75" t="s">
        <v>40</v>
      </c>
    </row>
    <row r="22" spans="1:34" x14ac:dyDescent="0.2">
      <c r="A22" s="76"/>
      <c r="B22" s="77"/>
      <c r="C22" s="77"/>
      <c r="D22" s="77"/>
      <c r="E22" s="78"/>
      <c r="F22" s="77"/>
      <c r="G22" s="77"/>
      <c r="H22" s="77" t="s">
        <v>41</v>
      </c>
      <c r="I22" s="77" t="s">
        <v>42</v>
      </c>
      <c r="J22" s="77" t="s">
        <v>43</v>
      </c>
      <c r="K22" s="77" t="s">
        <v>44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9"/>
      <c r="AD22" s="79"/>
      <c r="AE22" s="77"/>
      <c r="AF22" s="77"/>
      <c r="AG22" s="80"/>
      <c r="AH22" s="81"/>
    </row>
    <row r="23" spans="1:34" x14ac:dyDescent="0.2">
      <c r="A23" s="76"/>
      <c r="B23" s="77"/>
      <c r="C23" s="77"/>
      <c r="D23" s="77"/>
      <c r="E23" s="78"/>
      <c r="F23" s="77"/>
      <c r="G23" s="77"/>
      <c r="H23" s="77"/>
      <c r="I23" s="77"/>
      <c r="J23" s="77"/>
      <c r="K23" s="82">
        <v>1</v>
      </c>
      <c r="L23" s="82">
        <v>2</v>
      </c>
      <c r="M23" s="82">
        <v>3</v>
      </c>
      <c r="N23" s="82">
        <v>4</v>
      </c>
      <c r="O23" s="82">
        <v>5</v>
      </c>
      <c r="P23" s="82">
        <v>6</v>
      </c>
      <c r="Q23" s="82">
        <v>7</v>
      </c>
      <c r="R23" s="82">
        <v>8</v>
      </c>
      <c r="S23" s="82">
        <v>9</v>
      </c>
      <c r="T23" s="82">
        <v>10</v>
      </c>
      <c r="U23" s="82">
        <v>11</v>
      </c>
      <c r="V23" s="82">
        <v>12</v>
      </c>
      <c r="W23" s="82">
        <v>13</v>
      </c>
      <c r="X23" s="82">
        <v>14</v>
      </c>
      <c r="Y23" s="82">
        <v>15</v>
      </c>
      <c r="Z23" s="82">
        <v>16</v>
      </c>
      <c r="AA23" s="82">
        <v>17</v>
      </c>
      <c r="AB23" s="77"/>
      <c r="AC23" s="83" t="s">
        <v>45</v>
      </c>
      <c r="AD23" s="83" t="s">
        <v>46</v>
      </c>
      <c r="AE23" s="77"/>
      <c r="AF23" s="77"/>
      <c r="AG23" s="80"/>
      <c r="AH23" s="81"/>
    </row>
    <row r="24" spans="1:34" ht="15.6" customHeight="1" x14ac:dyDescent="0.2">
      <c r="A24" s="84">
        <v>1</v>
      </c>
      <c r="B24" s="85">
        <v>36</v>
      </c>
      <c r="C24" s="86">
        <f>IF(ISBLANK($B24),"",VLOOKUP($B24,[1]список!$B$1:$G$544,2,0))</f>
        <v>10111632836</v>
      </c>
      <c r="D24" s="87" t="str">
        <f>IF(ISBLANK($B24),"",VLOOKUP($B24,[1]список!$B$1:$G$544,3,0))</f>
        <v>Даньшина Полина</v>
      </c>
      <c r="E24" s="88">
        <f>IF(ISBLANK($B24),"",VLOOKUP($B24,[1]список!$B$1:$G$544,4,0))</f>
        <v>39137</v>
      </c>
      <c r="F24" s="88" t="str">
        <f>IF(ISBLANK($B24),"",VLOOKUP($B24,[1]список!$B$1:$H$544,5,0))</f>
        <v>КМС</v>
      </c>
      <c r="G24" s="89" t="str">
        <f>IF(ISBLANK($B24),"",VLOOKUP($B24,[1]список!$B$1:$H$544,6,0))</f>
        <v>Санкт-Петербург</v>
      </c>
      <c r="H24" s="90">
        <v>32</v>
      </c>
      <c r="I24" s="90">
        <v>36</v>
      </c>
      <c r="J24" s="90">
        <v>40</v>
      </c>
      <c r="K24" s="90">
        <v>1</v>
      </c>
      <c r="L24" s="90">
        <v>5</v>
      </c>
      <c r="M24" s="90">
        <v>5</v>
      </c>
      <c r="N24" s="90">
        <v>5</v>
      </c>
      <c r="O24" s="90"/>
      <c r="P24" s="90"/>
      <c r="Q24" s="90"/>
      <c r="R24" s="90"/>
      <c r="S24" s="91"/>
      <c r="T24" s="91"/>
      <c r="U24" s="91"/>
      <c r="V24" s="91"/>
      <c r="W24" s="90"/>
      <c r="X24" s="90"/>
      <c r="Y24" s="90"/>
      <c r="Z24" s="90"/>
      <c r="AA24" s="90"/>
      <c r="AB24" s="90">
        <v>18</v>
      </c>
      <c r="AC24" s="90">
        <v>20</v>
      </c>
      <c r="AD24" s="90"/>
      <c r="AE24" s="90">
        <f>(SUM(H24,I24,J24,K24,L24,M24,N24,O24,P24,Q24,R24:AA24,AC24))-AD24</f>
        <v>144</v>
      </c>
      <c r="AF24" s="90"/>
      <c r="AG24" s="85" t="s">
        <v>47</v>
      </c>
      <c r="AH24" s="92"/>
    </row>
    <row r="25" spans="1:34" ht="15.6" customHeight="1" x14ac:dyDescent="0.2">
      <c r="A25" s="84">
        <v>2</v>
      </c>
      <c r="B25" s="85">
        <v>46</v>
      </c>
      <c r="C25" s="86">
        <f>IF(ISBLANK($B25),"",VLOOKUP($B25,[1]список!$B$1:$G$544,2,0))</f>
        <v>10124975083</v>
      </c>
      <c r="D25" s="87" t="str">
        <f>IF(ISBLANK($B25),"",VLOOKUP($B25,[1]список!$B$1:$G$544,3,0))</f>
        <v>Новолодская Ангелина</v>
      </c>
      <c r="E25" s="88">
        <f>IF(ISBLANK($B25),"",VLOOKUP($B25,[1]список!$B$1:$G$544,4,0))</f>
        <v>40017</v>
      </c>
      <c r="F25" s="88" t="str">
        <f>IF(ISBLANK($B25),"",VLOOKUP($B25,[1]список!$B$1:$H$544,5,0))</f>
        <v>КМС</v>
      </c>
      <c r="G25" s="89" t="str">
        <f>IF(ISBLANK($B25),"",VLOOKUP($B25,[1]список!$B$1:$H$544,6,0))</f>
        <v>Санкт-Петербург</v>
      </c>
      <c r="H25" s="90">
        <v>26</v>
      </c>
      <c r="I25" s="90">
        <v>40</v>
      </c>
      <c r="J25" s="90">
        <v>38</v>
      </c>
      <c r="K25" s="90">
        <v>5</v>
      </c>
      <c r="L25" s="90">
        <v>1</v>
      </c>
      <c r="M25" s="90"/>
      <c r="N25" s="90"/>
      <c r="O25" s="90"/>
      <c r="P25" s="90"/>
      <c r="Q25" s="90"/>
      <c r="R25" s="90"/>
      <c r="S25" s="91"/>
      <c r="T25" s="91"/>
      <c r="U25" s="91"/>
      <c r="V25" s="91"/>
      <c r="W25" s="90"/>
      <c r="X25" s="90"/>
      <c r="Y25" s="90"/>
      <c r="Z25" s="90"/>
      <c r="AA25" s="90"/>
      <c r="AB25" s="90">
        <v>17</v>
      </c>
      <c r="AC25" s="90">
        <v>20</v>
      </c>
      <c r="AD25" s="90"/>
      <c r="AE25" s="90">
        <f>(SUM(H25,I25,J25,K25,L25,M25,N25,O25,P25,Q25,R25:AA25,AC25))-AD25</f>
        <v>130</v>
      </c>
      <c r="AF25" s="90"/>
      <c r="AG25" s="85" t="s">
        <v>47</v>
      </c>
      <c r="AH25" s="92"/>
    </row>
    <row r="26" spans="1:34" ht="15.6" customHeight="1" x14ac:dyDescent="0.2">
      <c r="A26" s="84">
        <v>3</v>
      </c>
      <c r="B26" s="85">
        <v>39</v>
      </c>
      <c r="C26" s="86">
        <f>IF(ISBLANK($B26),"",VLOOKUP($B26,[1]список!$B$1:$G$544,2,0))</f>
        <v>10111631927</v>
      </c>
      <c r="D26" s="87" t="str">
        <f>IF(ISBLANK($B26),"",VLOOKUP($B26,[1]список!$B$1:$G$544,3,0))</f>
        <v>Кокарева Аглая</v>
      </c>
      <c r="E26" s="88">
        <f>IF(ISBLANK($B26),"",VLOOKUP($B26,[1]список!$B$1:$G$544,4,0))</f>
        <v>39348</v>
      </c>
      <c r="F26" s="88" t="str">
        <f>IF(ISBLANK($B26),"",VLOOKUP($B26,[1]список!$B$1:$H$544,5,0))</f>
        <v>КМС</v>
      </c>
      <c r="G26" s="89" t="str">
        <f>IF(ISBLANK($B26),"",VLOOKUP($B26,[1]список!$B$1:$H$544,6,0))</f>
        <v>Санкт-Петербург</v>
      </c>
      <c r="H26" s="90">
        <v>30</v>
      </c>
      <c r="I26" s="90">
        <v>28</v>
      </c>
      <c r="J26" s="90">
        <v>36</v>
      </c>
      <c r="K26" s="90">
        <v>3</v>
      </c>
      <c r="L26" s="90">
        <v>2</v>
      </c>
      <c r="M26" s="90">
        <v>2</v>
      </c>
      <c r="N26" s="90">
        <v>2</v>
      </c>
      <c r="O26" s="90">
        <v>5</v>
      </c>
      <c r="P26" s="90">
        <v>10</v>
      </c>
      <c r="Q26" s="90"/>
      <c r="R26" s="90"/>
      <c r="S26" s="91"/>
      <c r="T26" s="91"/>
      <c r="U26" s="91"/>
      <c r="V26" s="91"/>
      <c r="W26" s="90"/>
      <c r="X26" s="90"/>
      <c r="Y26" s="90"/>
      <c r="Z26" s="90"/>
      <c r="AA26" s="90"/>
      <c r="AB26" s="90">
        <v>1</v>
      </c>
      <c r="AC26" s="90"/>
      <c r="AD26" s="90"/>
      <c r="AE26" s="90">
        <f>(SUM(H26,I26,J26,K26,L26,M26,N26,O26,P26,Q26,R26:AA26,AC26))-AD26</f>
        <v>118</v>
      </c>
      <c r="AF26" s="90"/>
      <c r="AG26" s="85" t="s">
        <v>47</v>
      </c>
      <c r="AH26" s="92"/>
    </row>
    <row r="27" spans="1:34" ht="15.6" customHeight="1" x14ac:dyDescent="0.2">
      <c r="A27" s="84">
        <v>4</v>
      </c>
      <c r="B27" s="85">
        <v>117</v>
      </c>
      <c r="C27" s="86">
        <f>IF(ISBLANK($B27),"",VLOOKUP($B27,[1]список!$B$1:$G$544,2,0))</f>
        <v>10094255385</v>
      </c>
      <c r="D27" s="87" t="str">
        <f>IF(ISBLANK($B27),"",VLOOKUP($B27,[1]список!$B$1:$G$544,3,0))</f>
        <v>Изотова Анна</v>
      </c>
      <c r="E27" s="88">
        <f>IF(ISBLANK($B27),"",VLOOKUP($B27,[1]список!$B$1:$G$544,4,0))</f>
        <v>39316</v>
      </c>
      <c r="F27" s="88" t="str">
        <f>IF(ISBLANK($B27),"",VLOOKUP($B27,[1]список!$B$1:$H$544,5,0))</f>
        <v>КМС</v>
      </c>
      <c r="G27" s="89" t="str">
        <f>IF(ISBLANK($B27),"",VLOOKUP($B27,[1]список!$B$1:$H$544,6,0))</f>
        <v>Тульская область</v>
      </c>
      <c r="H27" s="90">
        <v>40</v>
      </c>
      <c r="I27" s="90">
        <v>32</v>
      </c>
      <c r="J27" s="90">
        <v>30</v>
      </c>
      <c r="K27" s="90"/>
      <c r="L27" s="90"/>
      <c r="M27" s="90"/>
      <c r="N27" s="90"/>
      <c r="O27" s="90"/>
      <c r="P27" s="90">
        <v>2</v>
      </c>
      <c r="Q27" s="90"/>
      <c r="R27" s="90"/>
      <c r="S27" s="91"/>
      <c r="T27" s="91"/>
      <c r="U27" s="91"/>
      <c r="V27" s="91"/>
      <c r="W27" s="90"/>
      <c r="X27" s="90"/>
      <c r="Y27" s="90"/>
      <c r="Z27" s="90"/>
      <c r="AA27" s="90"/>
      <c r="AB27" s="90">
        <v>4</v>
      </c>
      <c r="AC27" s="90"/>
      <c r="AD27" s="90"/>
      <c r="AE27" s="90">
        <f>(SUM(H27,I27,J27,K27,L27,M27,N27,O27,P27,Q27,R27:AA27,AC27))-AD27</f>
        <v>104</v>
      </c>
      <c r="AF27" s="90"/>
      <c r="AG27" s="85" t="s">
        <v>48</v>
      </c>
      <c r="AH27" s="92"/>
    </row>
    <row r="28" spans="1:34" ht="15.6" customHeight="1" x14ac:dyDescent="0.2">
      <c r="A28" s="84">
        <v>5</v>
      </c>
      <c r="B28" s="85">
        <v>37</v>
      </c>
      <c r="C28" s="86">
        <f>IF(ISBLANK($B28),"",VLOOKUP($B28,[1]список!$B$1:$G$544,2,0))</f>
        <v>10094559422</v>
      </c>
      <c r="D28" s="87" t="str">
        <f>IF(ISBLANK($B28),"",VLOOKUP($B28,[1]список!$B$1:$G$544,3,0))</f>
        <v>Смирнова Диана</v>
      </c>
      <c r="E28" s="88">
        <f>IF(ISBLANK($B28),"",VLOOKUP($B28,[1]список!$B$1:$G$544,4,0))</f>
        <v>38505</v>
      </c>
      <c r="F28" s="88" t="str">
        <f>IF(ISBLANK($B28),"",VLOOKUP($B28,[1]список!$B$1:$H$544,5,0))</f>
        <v>МС</v>
      </c>
      <c r="G28" s="89" t="str">
        <f>IF(ISBLANK($B28),"",VLOOKUP($B28,[1]список!$B$1:$H$544,6,0))</f>
        <v>Санкт-Петербург</v>
      </c>
      <c r="H28" s="90">
        <v>18</v>
      </c>
      <c r="I28" s="90">
        <v>38</v>
      </c>
      <c r="J28" s="90">
        <v>32</v>
      </c>
      <c r="K28" s="90">
        <v>2</v>
      </c>
      <c r="L28" s="90">
        <v>3</v>
      </c>
      <c r="M28" s="90">
        <v>3</v>
      </c>
      <c r="N28" s="90">
        <v>3</v>
      </c>
      <c r="O28" s="90">
        <v>3</v>
      </c>
      <c r="P28" s="90"/>
      <c r="Q28" s="90"/>
      <c r="R28" s="90"/>
      <c r="S28" s="91"/>
      <c r="T28" s="91"/>
      <c r="U28" s="91"/>
      <c r="V28" s="91"/>
      <c r="W28" s="90"/>
      <c r="X28" s="90"/>
      <c r="Y28" s="90"/>
      <c r="Z28" s="90"/>
      <c r="AA28" s="90"/>
      <c r="AB28" s="90">
        <v>15</v>
      </c>
      <c r="AC28" s="90"/>
      <c r="AD28" s="90"/>
      <c r="AE28" s="90">
        <f>(SUM(H28,I28,J28,K28,L28,M28,N28,O28,P28,Q28,R28:AA28,AC28))-AD28</f>
        <v>102</v>
      </c>
      <c r="AF28" s="90"/>
      <c r="AG28" s="85" t="s">
        <v>48</v>
      </c>
      <c r="AH28" s="92"/>
    </row>
    <row r="29" spans="1:34" ht="15.6" customHeight="1" x14ac:dyDescent="0.2">
      <c r="A29" s="84">
        <v>6</v>
      </c>
      <c r="B29" s="85">
        <v>43</v>
      </c>
      <c r="C29" s="86">
        <f>IF(ISBLANK($B29),"",VLOOKUP($B29,[1]список!$B$1:$G$544,2,0))</f>
        <v>10124975487</v>
      </c>
      <c r="D29" s="87" t="str">
        <f>IF(ISBLANK($B29),"",VLOOKUP($B29,[1]список!$B$1:$G$544,3,0))</f>
        <v>Павловская Мария</v>
      </c>
      <c r="E29" s="88">
        <f>IF(ISBLANK($B29),"",VLOOKUP($B29,[1]список!$B$1:$G$544,4,0))</f>
        <v>39749</v>
      </c>
      <c r="F29" s="88" t="str">
        <f>IF(ISBLANK($B29),"",VLOOKUP($B29,[1]список!$B$1:$H$544,5,0))</f>
        <v>КМС</v>
      </c>
      <c r="G29" s="89" t="str">
        <f>IF(ISBLANK($B29),"",VLOOKUP($B29,[1]список!$B$1:$H$544,6,0))</f>
        <v>Санкт-Петербург</v>
      </c>
      <c r="H29" s="90">
        <v>16</v>
      </c>
      <c r="I29" s="90">
        <v>34</v>
      </c>
      <c r="J29" s="90">
        <v>34</v>
      </c>
      <c r="K29" s="90"/>
      <c r="L29" s="90"/>
      <c r="M29" s="90">
        <v>1</v>
      </c>
      <c r="N29" s="90"/>
      <c r="O29" s="90"/>
      <c r="P29" s="90">
        <v>4</v>
      </c>
      <c r="Q29" s="90"/>
      <c r="R29" s="90"/>
      <c r="S29" s="91"/>
      <c r="T29" s="91"/>
      <c r="U29" s="91"/>
      <c r="V29" s="91"/>
      <c r="W29" s="90"/>
      <c r="X29" s="90"/>
      <c r="Y29" s="90"/>
      <c r="Z29" s="90"/>
      <c r="AA29" s="90"/>
      <c r="AB29" s="90">
        <v>3</v>
      </c>
      <c r="AC29" s="90"/>
      <c r="AD29" s="90"/>
      <c r="AE29" s="90">
        <f>(SUM(H29,I29,J29,K29,L29,M29,N29,O29,P29,Q29,R29:AA29,AC29))-AD29</f>
        <v>89</v>
      </c>
      <c r="AF29" s="90"/>
      <c r="AG29" s="85" t="s">
        <v>48</v>
      </c>
      <c r="AH29" s="92"/>
    </row>
    <row r="30" spans="1:34" ht="15.6" customHeight="1" x14ac:dyDescent="0.2">
      <c r="A30" s="84">
        <v>7</v>
      </c>
      <c r="B30" s="85">
        <v>47</v>
      </c>
      <c r="C30" s="86">
        <f>IF(ISBLANK($B30),"",VLOOKUP($B30,[1]список!$B$1:$G$544,2,0))</f>
        <v>10137270845</v>
      </c>
      <c r="D30" s="87" t="str">
        <f>IF(ISBLANK($B30),"",VLOOKUP($B30,[1]список!$B$1:$G$544,3,0))</f>
        <v>Соломатина Олеся</v>
      </c>
      <c r="E30" s="88">
        <f>IF(ISBLANK($B30),"",VLOOKUP($B30,[1]список!$B$1:$G$544,4,0))</f>
        <v>39844</v>
      </c>
      <c r="F30" s="88" t="str">
        <f>IF(ISBLANK($B30),"",VLOOKUP($B30,[1]список!$B$1:$H$544,5,0))</f>
        <v>2 СР</v>
      </c>
      <c r="G30" s="89" t="str">
        <f>IF(ISBLANK($B30),"",VLOOKUP($B30,[1]список!$B$1:$H$544,6,0))</f>
        <v>Санкт-Петербург</v>
      </c>
      <c r="H30" s="90">
        <v>38</v>
      </c>
      <c r="I30" s="90">
        <v>22</v>
      </c>
      <c r="J30" s="90">
        <v>26</v>
      </c>
      <c r="K30" s="90"/>
      <c r="L30" s="90"/>
      <c r="M30" s="90"/>
      <c r="N30" s="90"/>
      <c r="O30" s="90">
        <v>1</v>
      </c>
      <c r="P30" s="90"/>
      <c r="Q30" s="90"/>
      <c r="R30" s="90"/>
      <c r="S30" s="91"/>
      <c r="T30" s="91"/>
      <c r="U30" s="91"/>
      <c r="V30" s="91"/>
      <c r="W30" s="90"/>
      <c r="X30" s="90"/>
      <c r="Y30" s="90"/>
      <c r="Z30" s="90"/>
      <c r="AA30" s="90"/>
      <c r="AB30" s="90">
        <v>16</v>
      </c>
      <c r="AC30" s="90"/>
      <c r="AD30" s="90"/>
      <c r="AE30" s="90">
        <f>(SUM(H30,I30,J30,K30,L30,M30,N30,O30,P30,Q30,R30:AA30,AC30))-AD30</f>
        <v>87</v>
      </c>
      <c r="AF30" s="90"/>
      <c r="AG30" s="85"/>
      <c r="AH30" s="92"/>
    </row>
    <row r="31" spans="1:34" ht="15.6" customHeight="1" x14ac:dyDescent="0.2">
      <c r="A31" s="84">
        <v>8</v>
      </c>
      <c r="B31" s="85">
        <v>40</v>
      </c>
      <c r="C31" s="86">
        <f>IF(ISBLANK($B31),"",VLOOKUP($B31,[1]список!$B$1:$G$544,2,0))</f>
        <v>10080748238</v>
      </c>
      <c r="D31" s="87" t="str">
        <f>IF(ISBLANK($B31),"",VLOOKUP($B31,[1]список!$B$1:$G$544,3,0))</f>
        <v>Чертихина Юлия</v>
      </c>
      <c r="E31" s="88">
        <f>IF(ISBLANK($B31),"",VLOOKUP($B31,[1]список!$B$1:$G$544,4,0))</f>
        <v>39121</v>
      </c>
      <c r="F31" s="88" t="str">
        <f>IF(ISBLANK($B31),"",VLOOKUP($B31,[1]список!$B$1:$H$544,5,0))</f>
        <v>КМС</v>
      </c>
      <c r="G31" s="89" t="str">
        <f>IF(ISBLANK($B31),"",VLOOKUP($B31,[1]список!$B$1:$H$544,6,0))</f>
        <v>Санкт-Петербург</v>
      </c>
      <c r="H31" s="90">
        <v>36</v>
      </c>
      <c r="I31" s="90">
        <v>30</v>
      </c>
      <c r="J31" s="90">
        <v>12</v>
      </c>
      <c r="K31" s="90"/>
      <c r="L31" s="90"/>
      <c r="M31" s="90"/>
      <c r="N31" s="90"/>
      <c r="O31" s="90"/>
      <c r="P31" s="90">
        <v>6</v>
      </c>
      <c r="Q31" s="90"/>
      <c r="R31" s="90"/>
      <c r="S31" s="91"/>
      <c r="T31" s="91"/>
      <c r="U31" s="91"/>
      <c r="V31" s="91"/>
      <c r="W31" s="90"/>
      <c r="X31" s="90"/>
      <c r="Y31" s="90"/>
      <c r="Z31" s="90"/>
      <c r="AA31" s="90"/>
      <c r="AB31" s="90">
        <v>2</v>
      </c>
      <c r="AC31" s="90"/>
      <c r="AD31" s="90"/>
      <c r="AE31" s="90">
        <f>(SUM(H31,I31,J31,K31,L31,M31,N31,O31,P31,Q31,R31:AA31,AC31))-AD31</f>
        <v>84</v>
      </c>
      <c r="AF31" s="90"/>
      <c r="AG31" s="85"/>
      <c r="AH31" s="92"/>
    </row>
    <row r="32" spans="1:34" ht="15.6" customHeight="1" x14ac:dyDescent="0.2">
      <c r="A32" s="84">
        <v>9</v>
      </c>
      <c r="B32" s="85">
        <v>44</v>
      </c>
      <c r="C32" s="86">
        <f>IF(ISBLANK($B32),"",VLOOKUP($B32,[1]список!$B$1:$G$544,2,0))</f>
        <v>10127617931</v>
      </c>
      <c r="D32" s="87" t="str">
        <f>IF(ISBLANK($B32),"",VLOOKUP($B32,[1]список!$B$1:$G$544,3,0))</f>
        <v>Васюкова Валерия</v>
      </c>
      <c r="E32" s="88">
        <f>IF(ISBLANK($B32),"",VLOOKUP($B32,[1]список!$B$1:$G$544,4,0))</f>
        <v>39814</v>
      </c>
      <c r="F32" s="88" t="str">
        <f>IF(ISBLANK($B32),"",VLOOKUP($B32,[1]список!$B$1:$H$544,5,0))</f>
        <v>1 СР</v>
      </c>
      <c r="G32" s="89" t="str">
        <f>IF(ISBLANK($B32),"",VLOOKUP($B32,[1]список!$B$1:$H$544,6,0))</f>
        <v>Санкт-Петербург</v>
      </c>
      <c r="H32" s="90">
        <v>28</v>
      </c>
      <c r="I32" s="85">
        <v>26</v>
      </c>
      <c r="J32" s="85">
        <v>24</v>
      </c>
      <c r="K32" s="85"/>
      <c r="L32" s="85"/>
      <c r="M32" s="85"/>
      <c r="N32" s="85">
        <v>1</v>
      </c>
      <c r="O32" s="85"/>
      <c r="P32" s="85"/>
      <c r="Q32" s="85"/>
      <c r="R32" s="85"/>
      <c r="S32" s="91"/>
      <c r="T32" s="91"/>
      <c r="U32" s="91"/>
      <c r="V32" s="91"/>
      <c r="W32" s="85"/>
      <c r="X32" s="85"/>
      <c r="Y32" s="85"/>
      <c r="Z32" s="85"/>
      <c r="AA32" s="85"/>
      <c r="AB32" s="85">
        <v>7</v>
      </c>
      <c r="AC32" s="85"/>
      <c r="AD32" s="85"/>
      <c r="AE32" s="90">
        <f>(SUM(H32,I32,J32,K32,L32,M32,N32,O32,P32,Q32,R32:AA32,AC32))-AD32</f>
        <v>79</v>
      </c>
      <c r="AF32" s="90"/>
      <c r="AG32" s="85"/>
      <c r="AH32" s="92"/>
    </row>
    <row r="33" spans="1:34" ht="15.6" customHeight="1" x14ac:dyDescent="0.2">
      <c r="A33" s="84">
        <v>10</v>
      </c>
      <c r="B33" s="85">
        <v>148</v>
      </c>
      <c r="C33" s="86">
        <f>IF(ISBLANK($B33),"",VLOOKUP($B33,[1]список!$B$1:$G$544,2,0))</f>
        <v>10104005909</v>
      </c>
      <c r="D33" s="87" t="str">
        <f>IF(ISBLANK($B33),"",VLOOKUP($B33,[1]список!$B$1:$G$544,3,0))</f>
        <v>Забродина Дарья</v>
      </c>
      <c r="E33" s="88">
        <f>IF(ISBLANK($B33),"",VLOOKUP($B33,[1]список!$B$1:$G$544,4,0))</f>
        <v>38604</v>
      </c>
      <c r="F33" s="88" t="str">
        <f>IF(ISBLANK($B33),"",VLOOKUP($B33,[1]список!$B$1:$H$544,5,0))</f>
        <v>МС</v>
      </c>
      <c r="G33" s="89" t="str">
        <f>IF(ISBLANK($B33),"",VLOOKUP($B33,[1]список!$B$1:$H$544,6,0))</f>
        <v>Москва</v>
      </c>
      <c r="H33" s="90">
        <v>24</v>
      </c>
      <c r="I33" s="90">
        <v>24</v>
      </c>
      <c r="J33" s="90">
        <v>28</v>
      </c>
      <c r="K33" s="90"/>
      <c r="L33" s="90"/>
      <c r="M33" s="90"/>
      <c r="N33" s="90"/>
      <c r="O33" s="90"/>
      <c r="P33" s="90"/>
      <c r="Q33" s="90"/>
      <c r="R33" s="90"/>
      <c r="S33" s="91"/>
      <c r="T33" s="91"/>
      <c r="U33" s="91"/>
      <c r="V33" s="91"/>
      <c r="W33" s="90"/>
      <c r="X33" s="90"/>
      <c r="Y33" s="90"/>
      <c r="Z33" s="90"/>
      <c r="AA33" s="90"/>
      <c r="AB33" s="90">
        <v>13</v>
      </c>
      <c r="AC33" s="90"/>
      <c r="AD33" s="90"/>
      <c r="AE33" s="90">
        <f>(SUM(H33,I33,J33,K33,L33,M33,N33,O33,P33,Q33,R33:AA33,AC33))-AD33</f>
        <v>76</v>
      </c>
      <c r="AF33" s="90"/>
      <c r="AG33" s="85"/>
      <c r="AH33" s="92"/>
    </row>
    <row r="34" spans="1:34" ht="15.6" customHeight="1" x14ac:dyDescent="0.2">
      <c r="A34" s="84">
        <v>11</v>
      </c>
      <c r="B34" s="85">
        <v>42</v>
      </c>
      <c r="C34" s="86">
        <f>IF(ISBLANK($B34),"",VLOOKUP($B34,[1]список!$B$1:$G$544,2,0))</f>
        <v>10125032576</v>
      </c>
      <c r="D34" s="87" t="str">
        <f>IF(ISBLANK($B34),"",VLOOKUP($B34,[1]список!$B$1:$G$544,3,0))</f>
        <v>Ившичева Яна</v>
      </c>
      <c r="E34" s="88">
        <f>IF(ISBLANK($B34),"",VLOOKUP($B34,[1]список!$B$1:$G$544,4,0))</f>
        <v>39562</v>
      </c>
      <c r="F34" s="88" t="str">
        <f>IF(ISBLANK($B34),"",VLOOKUP($B34,[1]список!$B$1:$H$544,5,0))</f>
        <v>КМС</v>
      </c>
      <c r="G34" s="89" t="str">
        <f>IF(ISBLANK($B34),"",VLOOKUP($B34,[1]список!$B$1:$H$544,6,0))</f>
        <v>Санкт-Петербург</v>
      </c>
      <c r="H34" s="90">
        <v>20</v>
      </c>
      <c r="I34" s="90">
        <v>16</v>
      </c>
      <c r="J34" s="90">
        <v>22</v>
      </c>
      <c r="K34" s="90"/>
      <c r="L34" s="90"/>
      <c r="M34" s="90"/>
      <c r="N34" s="90"/>
      <c r="O34" s="90">
        <v>2</v>
      </c>
      <c r="P34" s="90"/>
      <c r="Q34" s="90"/>
      <c r="R34" s="90"/>
      <c r="S34" s="91"/>
      <c r="T34" s="91"/>
      <c r="U34" s="91"/>
      <c r="V34" s="91"/>
      <c r="W34" s="90"/>
      <c r="X34" s="90"/>
      <c r="Y34" s="90"/>
      <c r="Z34" s="90"/>
      <c r="AA34" s="90"/>
      <c r="AB34" s="90">
        <v>6</v>
      </c>
      <c r="AC34" s="90"/>
      <c r="AD34" s="90"/>
      <c r="AE34" s="90">
        <f>(SUM(H34,I34,J34,K34,L34,M34,N34,O34,P34,Q34,R34:AA34,AC34))-AD34</f>
        <v>60</v>
      </c>
      <c r="AF34" s="90"/>
      <c r="AG34" s="85"/>
      <c r="AH34" s="92"/>
    </row>
    <row r="35" spans="1:34" ht="15.6" customHeight="1" x14ac:dyDescent="0.2">
      <c r="A35" s="84">
        <v>12</v>
      </c>
      <c r="B35" s="85">
        <v>116</v>
      </c>
      <c r="C35" s="86">
        <f>IF(ISBLANK($B35),"",VLOOKUP($B35,[1]список!$B$1:$G$544,2,0))</f>
        <v>10091966589</v>
      </c>
      <c r="D35" s="87" t="str">
        <f>IF(ISBLANK($B35),"",VLOOKUP($B35,[1]список!$B$1:$G$544,3,0))</f>
        <v>Ермолова Дарья</v>
      </c>
      <c r="E35" s="88">
        <f>IF(ISBLANK($B35),"",VLOOKUP($B35,[1]список!$B$1:$G$544,4,0))</f>
        <v>38956</v>
      </c>
      <c r="F35" s="88" t="str">
        <f>IF(ISBLANK($B35),"",VLOOKUP($B35,[1]список!$B$1:$H$544,5,0))</f>
        <v>КМС</v>
      </c>
      <c r="G35" s="89" t="str">
        <f>IF(ISBLANK($B35),"",VLOOKUP($B35,[1]список!$B$1:$H$544,6,0))</f>
        <v>Тульская область</v>
      </c>
      <c r="H35" s="90">
        <v>22</v>
      </c>
      <c r="I35" s="90">
        <v>18</v>
      </c>
      <c r="J35" s="90">
        <v>18</v>
      </c>
      <c r="K35" s="90"/>
      <c r="L35" s="90"/>
      <c r="M35" s="90"/>
      <c r="N35" s="90"/>
      <c r="O35" s="90"/>
      <c r="P35" s="90"/>
      <c r="Q35" s="90"/>
      <c r="R35" s="90"/>
      <c r="S35" s="91"/>
      <c r="T35" s="91"/>
      <c r="U35" s="91"/>
      <c r="V35" s="91"/>
      <c r="W35" s="90"/>
      <c r="X35" s="90"/>
      <c r="Y35" s="90"/>
      <c r="Z35" s="90"/>
      <c r="AA35" s="90"/>
      <c r="AB35" s="90">
        <v>5</v>
      </c>
      <c r="AC35" s="90"/>
      <c r="AD35" s="90"/>
      <c r="AE35" s="90">
        <f>(SUM(H35,I35,J35,K35,L35,M35,N35,O35,P35,Q35,R35:AA35,AC35))-AD35</f>
        <v>58</v>
      </c>
      <c r="AF35" s="90"/>
      <c r="AG35" s="85"/>
      <c r="AH35" s="92"/>
    </row>
    <row r="36" spans="1:34" ht="15.6" customHeight="1" x14ac:dyDescent="0.2">
      <c r="A36" s="84">
        <v>13</v>
      </c>
      <c r="B36" s="85">
        <v>125</v>
      </c>
      <c r="C36" s="86">
        <f>IF(ISBLANK($B36),"",VLOOKUP($B36,[1]список!$B$1:$G$544,2,0))</f>
        <v>10116899027</v>
      </c>
      <c r="D36" s="87" t="str">
        <f>IF(ISBLANK($B36),"",VLOOKUP($B36,[1]список!$B$1:$G$544,3,0))</f>
        <v>Юрченко Александра</v>
      </c>
      <c r="E36" s="88">
        <f>IF(ISBLANK($B36),"",VLOOKUP($B36,[1]список!$B$1:$G$544,4,0))</f>
        <v>39346</v>
      </c>
      <c r="F36" s="88" t="str">
        <f>IF(ISBLANK($B36),"",VLOOKUP($B36,[1]список!$B$1:$H$544,5,0))</f>
        <v>КМС</v>
      </c>
      <c r="G36" s="89" t="str">
        <f>IF(ISBLANK($B36),"",VLOOKUP($B36,[1]список!$B$1:$H$544,6,0))</f>
        <v>Тульская область</v>
      </c>
      <c r="H36" s="90">
        <v>34</v>
      </c>
      <c r="I36" s="90">
        <v>4</v>
      </c>
      <c r="J36" s="90">
        <v>20</v>
      </c>
      <c r="K36" s="90"/>
      <c r="L36" s="90"/>
      <c r="M36" s="90"/>
      <c r="N36" s="90"/>
      <c r="O36" s="90"/>
      <c r="P36" s="90"/>
      <c r="Q36" s="90"/>
      <c r="R36" s="90"/>
      <c r="S36" s="91"/>
      <c r="T36" s="91"/>
      <c r="U36" s="91"/>
      <c r="V36" s="91"/>
      <c r="W36" s="90"/>
      <c r="X36" s="90"/>
      <c r="Y36" s="90"/>
      <c r="Z36" s="90"/>
      <c r="AA36" s="90"/>
      <c r="AB36" s="90">
        <v>20</v>
      </c>
      <c r="AC36" s="90"/>
      <c r="AD36" s="90"/>
      <c r="AE36" s="90">
        <f>(SUM(H36,I36,J36,K36,L36,M36,N36,O36,P36,Q36,R36:AA36,AC36))-AD36</f>
        <v>58</v>
      </c>
      <c r="AF36" s="90"/>
      <c r="AG36" s="85"/>
      <c r="AH36" s="92"/>
    </row>
    <row r="37" spans="1:34" ht="15.6" customHeight="1" x14ac:dyDescent="0.2">
      <c r="A37" s="84">
        <v>14</v>
      </c>
      <c r="B37" s="85">
        <v>49</v>
      </c>
      <c r="C37" s="86">
        <f>IF(ISBLANK($B37),"",VLOOKUP($B37,[1]список!$B$1:$G$544,2,0))</f>
        <v>10127774848</v>
      </c>
      <c r="D37" s="87" t="str">
        <f>IF(ISBLANK($B37),"",VLOOKUP($B37,[1]список!$B$1:$G$544,3,0))</f>
        <v>Деменкова Анастасия</v>
      </c>
      <c r="E37" s="88">
        <f>IF(ISBLANK($B37),"",VLOOKUP($B37,[1]список!$B$1:$G$544,4,0))</f>
        <v>39967</v>
      </c>
      <c r="F37" s="88" t="str">
        <f>IF(ISBLANK($B37),"",VLOOKUP($B37,[1]список!$B$1:$H$544,5,0))</f>
        <v>2 СР</v>
      </c>
      <c r="G37" s="89" t="str">
        <f>IF(ISBLANK($B37),"",VLOOKUP($B37,[1]список!$B$1:$H$544,6,0))</f>
        <v>Санкт-Петербург</v>
      </c>
      <c r="H37" s="90">
        <v>14</v>
      </c>
      <c r="I37" s="90">
        <v>20</v>
      </c>
      <c r="J37" s="90">
        <v>8</v>
      </c>
      <c r="K37" s="90"/>
      <c r="L37" s="90"/>
      <c r="M37" s="90"/>
      <c r="N37" s="90"/>
      <c r="O37" s="90"/>
      <c r="P37" s="90"/>
      <c r="Q37" s="90"/>
      <c r="R37" s="90"/>
      <c r="S37" s="91"/>
      <c r="T37" s="91"/>
      <c r="U37" s="91"/>
      <c r="V37" s="91"/>
      <c r="W37" s="90"/>
      <c r="X37" s="90"/>
      <c r="Y37" s="90"/>
      <c r="Z37" s="90"/>
      <c r="AA37" s="90"/>
      <c r="AB37" s="90">
        <v>9</v>
      </c>
      <c r="AC37" s="90"/>
      <c r="AD37" s="90"/>
      <c r="AE37" s="90">
        <f>(SUM(H37,I37,J37,K37,L37,M37,N37,O37,P37,Q37,R37:AA37,AC37))-AD37</f>
        <v>42</v>
      </c>
      <c r="AF37" s="90"/>
      <c r="AG37" s="85"/>
      <c r="AH37" s="92"/>
    </row>
    <row r="38" spans="1:34" ht="15.6" customHeight="1" x14ac:dyDescent="0.2">
      <c r="A38" s="84">
        <v>15</v>
      </c>
      <c r="B38" s="85">
        <v>48</v>
      </c>
      <c r="C38" s="86">
        <f>IF(ISBLANK($B38),"",VLOOKUP($B38,[1]список!$B$1:$G$544,2,0))</f>
        <v>10137270643</v>
      </c>
      <c r="D38" s="87" t="str">
        <f>IF(ISBLANK($B38),"",VLOOKUP($B38,[1]список!$B$1:$G$544,3,0))</f>
        <v>Алексеева Васса</v>
      </c>
      <c r="E38" s="88">
        <f>IF(ISBLANK($B38),"",VLOOKUP($B38,[1]список!$B$1:$G$544,4,0))</f>
        <v>39897</v>
      </c>
      <c r="F38" s="88" t="str">
        <f>IF(ISBLANK($B38),"",VLOOKUP($B38,[1]список!$B$1:$H$544,5,0))</f>
        <v>2 СР</v>
      </c>
      <c r="G38" s="89" t="str">
        <f>IF(ISBLANK($B38),"",VLOOKUP($B38,[1]список!$B$1:$H$544,6,0))</f>
        <v>Санкт-Петербург</v>
      </c>
      <c r="H38" s="90">
        <v>6</v>
      </c>
      <c r="I38" s="90">
        <v>14</v>
      </c>
      <c r="J38" s="90">
        <v>16</v>
      </c>
      <c r="K38" s="90"/>
      <c r="L38" s="90"/>
      <c r="M38" s="90"/>
      <c r="N38" s="90"/>
      <c r="O38" s="90"/>
      <c r="P38" s="90"/>
      <c r="Q38" s="90"/>
      <c r="R38" s="90"/>
      <c r="S38" s="91"/>
      <c r="T38" s="91"/>
      <c r="U38" s="91"/>
      <c r="V38" s="91"/>
      <c r="W38" s="90"/>
      <c r="X38" s="90"/>
      <c r="Y38" s="90"/>
      <c r="Z38" s="90"/>
      <c r="AA38" s="90"/>
      <c r="AB38" s="90">
        <v>8</v>
      </c>
      <c r="AC38" s="90"/>
      <c r="AD38" s="90"/>
      <c r="AE38" s="90">
        <f>(SUM(H38,I38,J38,K38,L38,M38,N38,O38,P38,Q38,R38:AA38,AC38))-AD38</f>
        <v>36</v>
      </c>
      <c r="AF38" s="90"/>
      <c r="AG38" s="85"/>
      <c r="AH38" s="92"/>
    </row>
    <row r="39" spans="1:34" ht="15.6" customHeight="1" x14ac:dyDescent="0.2">
      <c r="A39" s="84">
        <v>16</v>
      </c>
      <c r="B39" s="85">
        <v>38</v>
      </c>
      <c r="C39" s="86">
        <f>IF(ISBLANK($B39),"",VLOOKUP($B39,[1]список!$B$1:$G$544,2,0))</f>
        <v>10095661683</v>
      </c>
      <c r="D39" s="87" t="str">
        <f>IF(ISBLANK($B39),"",VLOOKUP($B39,[1]список!$B$1:$G$544,3,0))</f>
        <v>Исмагилова Лилия</v>
      </c>
      <c r="E39" s="88">
        <f>IF(ISBLANK($B39),"",VLOOKUP($B39,[1]список!$B$1:$G$544,4,0))</f>
        <v>39098</v>
      </c>
      <c r="F39" s="88" t="str">
        <f>IF(ISBLANK($B39),"",VLOOKUP($B39,[1]список!$B$1:$H$544,5,0))</f>
        <v>КМС</v>
      </c>
      <c r="G39" s="89" t="str">
        <f>IF(ISBLANK($B39),"",VLOOKUP($B39,[1]список!$B$1:$H$544,6,0))</f>
        <v>Санкт-Петербург</v>
      </c>
      <c r="H39" s="90">
        <v>8</v>
      </c>
      <c r="I39" s="90">
        <v>8</v>
      </c>
      <c r="J39" s="90">
        <v>14</v>
      </c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1"/>
      <c r="V39" s="91"/>
      <c r="W39" s="90"/>
      <c r="X39" s="90"/>
      <c r="Y39" s="90"/>
      <c r="Z39" s="90"/>
      <c r="AA39" s="90"/>
      <c r="AB39" s="90">
        <v>14</v>
      </c>
      <c r="AC39" s="90"/>
      <c r="AD39" s="90"/>
      <c r="AE39" s="90">
        <f>(SUM(H39,I39,J39,K39,L39,M39,N39,O39,P39,Q39,R39:AA39,AC39))-AD39</f>
        <v>30</v>
      </c>
      <c r="AF39" s="90"/>
      <c r="AG39" s="85"/>
      <c r="AH39" s="92"/>
    </row>
    <row r="40" spans="1:34" ht="15.6" customHeight="1" x14ac:dyDescent="0.2">
      <c r="A40" s="84">
        <v>17</v>
      </c>
      <c r="B40" s="85">
        <v>45</v>
      </c>
      <c r="C40" s="86">
        <f>IF(ISBLANK($B40),"",VLOOKUP($B40,[1]список!$B$1:$G$544,2,0))</f>
        <v>10137271047</v>
      </c>
      <c r="D40" s="87" t="str">
        <f>IF(ISBLANK($B40),"",VLOOKUP($B40,[1]список!$B$1:$G$544,3,0))</f>
        <v>Костина Ольга</v>
      </c>
      <c r="E40" s="88">
        <f>IF(ISBLANK($B40),"",VLOOKUP($B40,[1]список!$B$1:$G$544,4,0))</f>
        <v>40018</v>
      </c>
      <c r="F40" s="88" t="str">
        <f>IF(ISBLANK($B40),"",VLOOKUP($B40,[1]список!$B$1:$H$544,5,0))</f>
        <v>2 СР</v>
      </c>
      <c r="G40" s="89" t="str">
        <f>IF(ISBLANK($B40),"",VLOOKUP($B40,[1]список!$B$1:$H$544,6,0))</f>
        <v>Санкт-Петербург</v>
      </c>
      <c r="H40" s="90">
        <v>12</v>
      </c>
      <c r="I40" s="90">
        <v>10</v>
      </c>
      <c r="J40" s="90">
        <v>6</v>
      </c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1"/>
      <c r="V40" s="91"/>
      <c r="W40" s="90"/>
      <c r="X40" s="90"/>
      <c r="Y40" s="90"/>
      <c r="Z40" s="90"/>
      <c r="AA40" s="90"/>
      <c r="AB40" s="90">
        <v>10</v>
      </c>
      <c r="AC40" s="90"/>
      <c r="AD40" s="90"/>
      <c r="AE40" s="90">
        <f>(SUM(H40,I40,J40,K40,L40,M40,N40,O40,P40,Q40,R40:AA40,AC40))-AD40</f>
        <v>28</v>
      </c>
      <c r="AF40" s="90"/>
      <c r="AG40" s="85"/>
      <c r="AH40" s="92"/>
    </row>
    <row r="41" spans="1:34" ht="15.6" customHeight="1" x14ac:dyDescent="0.2">
      <c r="A41" s="84">
        <v>18</v>
      </c>
      <c r="B41" s="85">
        <v>41</v>
      </c>
      <c r="C41" s="86">
        <f>IF(ISBLANK($B41),"",VLOOKUP($B41,[1]список!$B$1:$G$544,2,0))</f>
        <v>10137268320</v>
      </c>
      <c r="D41" s="87" t="str">
        <f>IF(ISBLANK($B41),"",VLOOKUP($B41,[1]список!$B$1:$G$544,3,0))</f>
        <v>Грибова Марина</v>
      </c>
      <c r="E41" s="88">
        <f>IF(ISBLANK($B41),"",VLOOKUP($B41,[1]список!$B$1:$G$544,4,0))</f>
        <v>39488</v>
      </c>
      <c r="F41" s="88" t="str">
        <f>IF(ISBLANK($B41),"",VLOOKUP($B41,[1]список!$B$1:$H$544,5,0))</f>
        <v>КМС</v>
      </c>
      <c r="G41" s="89" t="str">
        <f>IF(ISBLANK($B41),"",VLOOKUP($B41,[1]список!$B$1:$H$544,6,0))</f>
        <v>Санкт-Петербург</v>
      </c>
      <c r="H41" s="90">
        <v>4</v>
      </c>
      <c r="I41" s="90">
        <v>12</v>
      </c>
      <c r="J41" s="90">
        <v>10</v>
      </c>
      <c r="K41" s="90"/>
      <c r="L41" s="90"/>
      <c r="M41" s="90"/>
      <c r="N41" s="90"/>
      <c r="O41" s="90"/>
      <c r="P41" s="90"/>
      <c r="Q41" s="90"/>
      <c r="R41" s="90"/>
      <c r="S41" s="91"/>
      <c r="T41" s="91"/>
      <c r="U41" s="91"/>
      <c r="V41" s="91"/>
      <c r="W41" s="90"/>
      <c r="X41" s="90"/>
      <c r="Y41" s="90"/>
      <c r="Z41" s="90"/>
      <c r="AA41" s="90"/>
      <c r="AB41" s="90">
        <v>12</v>
      </c>
      <c r="AC41" s="90"/>
      <c r="AD41" s="90"/>
      <c r="AE41" s="90">
        <f>(SUM(H41,I41,J41,K41,L41,M41,N41,O41,P41,Q41,R41:AA41,AC41))-AD41</f>
        <v>26</v>
      </c>
      <c r="AF41" s="90"/>
      <c r="AG41" s="85"/>
      <c r="AH41" s="92"/>
    </row>
    <row r="42" spans="1:34" ht="15.6" customHeight="1" x14ac:dyDescent="0.2">
      <c r="A42" s="84">
        <v>19</v>
      </c>
      <c r="B42" s="85">
        <v>182</v>
      </c>
      <c r="C42" s="86">
        <f>IF(ISBLANK($B42),"",VLOOKUP($B42,[1]список!$B$1:$G$544,2,0))</f>
        <v>10077689001</v>
      </c>
      <c r="D42" s="87" t="str">
        <f>IF(ISBLANK($B42),"",VLOOKUP($B42,[1]список!$B$1:$G$544,3,0))</f>
        <v>Корлякова Евдокия</v>
      </c>
      <c r="E42" s="88">
        <f>IF(ISBLANK($B42),"",VLOOKUP($B42,[1]список!$B$1:$G$544,4,0))</f>
        <v>38574</v>
      </c>
      <c r="F42" s="88" t="str">
        <f>IF(ISBLANK($B42),"",VLOOKUP($B42,[1]список!$B$1:$H$544,5,0))</f>
        <v>КМС</v>
      </c>
      <c r="G42" s="89" t="str">
        <f>IF(ISBLANK($B42),"",VLOOKUP($B42,[1]список!$B$1:$H$544,6,0))</f>
        <v>Удмуртская республика</v>
      </c>
      <c r="H42" s="90">
        <v>10</v>
      </c>
      <c r="I42" s="90">
        <v>2</v>
      </c>
      <c r="J42" s="90">
        <v>2</v>
      </c>
      <c r="K42" s="90"/>
      <c r="L42" s="90"/>
      <c r="M42" s="90"/>
      <c r="N42" s="90"/>
      <c r="O42" s="90"/>
      <c r="P42" s="90"/>
      <c r="Q42" s="90"/>
      <c r="R42" s="90"/>
      <c r="S42" s="91"/>
      <c r="T42" s="91"/>
      <c r="U42" s="91"/>
      <c r="V42" s="91"/>
      <c r="W42" s="90"/>
      <c r="X42" s="90"/>
      <c r="Y42" s="90"/>
      <c r="Z42" s="90"/>
      <c r="AA42" s="90"/>
      <c r="AB42" s="90">
        <v>11</v>
      </c>
      <c r="AC42" s="90"/>
      <c r="AD42" s="90"/>
      <c r="AE42" s="90">
        <f>(SUM(H42,I42,J42,K42,L42,M42,N42,O42,P42,Q42,R42:AA42,AC42))-AD42</f>
        <v>14</v>
      </c>
      <c r="AF42" s="90"/>
      <c r="AG42" s="85"/>
      <c r="AH42" s="92"/>
    </row>
    <row r="43" spans="1:34" ht="15.6" customHeight="1" x14ac:dyDescent="0.2">
      <c r="A43" s="84">
        <v>20</v>
      </c>
      <c r="B43" s="85">
        <v>136</v>
      </c>
      <c r="C43" s="86">
        <f>IF(ISBLANK($B43),"",VLOOKUP($B43,[1]список!$B$1:$G$544,2,0))</f>
        <v>10107167806</v>
      </c>
      <c r="D43" s="87" t="str">
        <f>IF(ISBLANK($B43),"",VLOOKUP($B43,[1]список!$B$1:$G$544,3,0))</f>
        <v>Щекотова Анастасия</v>
      </c>
      <c r="E43" s="88">
        <f>IF(ISBLANK($B43),"",VLOOKUP($B43,[1]список!$B$1:$G$544,4,0))</f>
        <v>38784</v>
      </c>
      <c r="F43" s="88" t="str">
        <f>IF(ISBLANK($B43),"",VLOOKUP($B43,[1]список!$B$1:$H$544,5,0))</f>
        <v>КМС</v>
      </c>
      <c r="G43" s="89" t="str">
        <f>IF(ISBLANK($B43),"",VLOOKUP($B43,[1]список!$B$1:$H$544,6,0))</f>
        <v>Москва</v>
      </c>
      <c r="H43" s="90">
        <v>2</v>
      </c>
      <c r="I43" s="90">
        <v>6</v>
      </c>
      <c r="J43" s="90">
        <v>4</v>
      </c>
      <c r="K43" s="90"/>
      <c r="L43" s="90"/>
      <c r="M43" s="90"/>
      <c r="N43" s="90"/>
      <c r="O43" s="90"/>
      <c r="P43" s="90"/>
      <c r="Q43" s="90"/>
      <c r="R43" s="90"/>
      <c r="S43" s="91"/>
      <c r="T43" s="91"/>
      <c r="U43" s="91"/>
      <c r="V43" s="91"/>
      <c r="W43" s="90"/>
      <c r="X43" s="90"/>
      <c r="Y43" s="90"/>
      <c r="Z43" s="90"/>
      <c r="AA43" s="90"/>
      <c r="AB43" s="90">
        <v>19</v>
      </c>
      <c r="AC43" s="90"/>
      <c r="AD43" s="90"/>
      <c r="AE43" s="90">
        <f>(SUM(H43,I43,J43,K43,L43,M43,N43,O43,P43,Q43,R43:AA43,AC43))-AD43</f>
        <v>12</v>
      </c>
      <c r="AF43" s="90"/>
      <c r="AG43" s="85"/>
      <c r="AH43" s="92"/>
    </row>
    <row r="44" spans="1:34" ht="15.6" customHeight="1" x14ac:dyDescent="0.2">
      <c r="A44" s="90" t="s">
        <v>49</v>
      </c>
      <c r="B44" s="85">
        <v>133</v>
      </c>
      <c r="C44" s="86">
        <f>IF(ISBLANK($B44),"",VLOOKUP($B44,[1]список!$B$1:$G$544,2,0))</f>
        <v>10101842102</v>
      </c>
      <c r="D44" s="87" t="str">
        <f>IF(ISBLANK($B44),"",VLOOKUP($B44,[1]список!$B$1:$G$544,3,0))</f>
        <v>Мартино Стелла</v>
      </c>
      <c r="E44" s="88">
        <f>IF(ISBLANK($B44),"",VLOOKUP($B44,[1]список!$B$1:$G$544,4,0))</f>
        <v>38571</v>
      </c>
      <c r="F44" s="88" t="str">
        <f>IF(ISBLANK($B44),"",VLOOKUP($B44,[1]список!$B$1:$H$544,5,0))</f>
        <v>1 СР</v>
      </c>
      <c r="G44" s="89" t="str">
        <f>IF(ISBLANK($B44),"",VLOOKUP($B44,[1]список!$B$1:$H$544,6,0))</f>
        <v>Москва</v>
      </c>
      <c r="H44" s="90">
        <v>1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  <c r="T44" s="90"/>
      <c r="U44" s="91"/>
      <c r="V44" s="91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85"/>
      <c r="AH44" s="92"/>
    </row>
    <row r="45" spans="1:34" ht="15.6" customHeight="1" x14ac:dyDescent="0.2">
      <c r="A45" s="90" t="s">
        <v>49</v>
      </c>
      <c r="B45" s="85">
        <v>135</v>
      </c>
      <c r="C45" s="86">
        <f>IF(ISBLANK($B45),"",VLOOKUP($B45,[1]список!$B$1:$G$544,2,0))</f>
        <v>10120565122</v>
      </c>
      <c r="D45" s="87" t="str">
        <f>IF(ISBLANK($B45),"",VLOOKUP($B45,[1]список!$B$1:$G$544,3,0))</f>
        <v>Толстикова Екатерина</v>
      </c>
      <c r="E45" s="88">
        <f>IF(ISBLANK($B45),"",VLOOKUP($B45,[1]список!$B$1:$G$544,4,0))</f>
        <v>38778</v>
      </c>
      <c r="F45" s="88" t="str">
        <f>IF(ISBLANK($B45),"",VLOOKUP($B45,[1]список!$B$1:$H$544,5,0))</f>
        <v>КМС</v>
      </c>
      <c r="G45" s="89" t="str">
        <f>IF(ISBLANK($B45),"",VLOOKUP($B45,[1]список!$B$1:$H$544,6,0))</f>
        <v>Москва</v>
      </c>
      <c r="H45" s="90">
        <v>1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1"/>
      <c r="T45" s="90"/>
      <c r="U45" s="91"/>
      <c r="V45" s="91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85"/>
      <c r="AH45" s="92"/>
    </row>
    <row r="46" spans="1:34" ht="15.6" hidden="1" customHeight="1" x14ac:dyDescent="0.2">
      <c r="A46" s="93"/>
      <c r="B46" s="94"/>
      <c r="C46" s="95"/>
      <c r="D46" s="96"/>
      <c r="E46" s="97"/>
      <c r="F46" s="98"/>
      <c r="G46" s="99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100"/>
      <c r="U46" s="101"/>
      <c r="V46" s="101"/>
      <c r="W46" s="100"/>
      <c r="X46" s="100"/>
      <c r="Y46" s="100"/>
      <c r="Z46" s="100"/>
      <c r="AA46" s="100"/>
      <c r="AB46" s="100"/>
      <c r="AC46" s="100"/>
      <c r="AD46" s="100"/>
      <c r="AE46" s="102"/>
      <c r="AF46" s="100"/>
      <c r="AG46" s="94"/>
      <c r="AH46" s="103"/>
    </row>
    <row r="47" spans="1:34" ht="15.6" hidden="1" customHeight="1" x14ac:dyDescent="0.2">
      <c r="A47" s="104"/>
      <c r="B47" s="105"/>
      <c r="C47" s="106"/>
      <c r="D47" s="107"/>
      <c r="E47" s="108"/>
      <c r="F47" s="109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111"/>
      <c r="U47" s="112"/>
      <c r="V47" s="112"/>
      <c r="W47" s="111"/>
      <c r="X47" s="111"/>
      <c r="Y47" s="111"/>
      <c r="Z47" s="111"/>
      <c r="AA47" s="111"/>
      <c r="AB47" s="111"/>
      <c r="AC47" s="111"/>
      <c r="AD47" s="111"/>
      <c r="AE47" s="100"/>
      <c r="AF47" s="111"/>
      <c r="AG47" s="105"/>
      <c r="AH47" s="113"/>
    </row>
    <row r="48" spans="1:34" ht="13.5" thickBot="1" x14ac:dyDescent="0.25">
      <c r="A48" s="66"/>
      <c r="B48" s="67"/>
      <c r="C48" s="67"/>
      <c r="D48" s="66"/>
      <c r="E48" s="6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59"/>
      <c r="AF48" s="66"/>
      <c r="AG48" s="66"/>
      <c r="AH48" s="66"/>
    </row>
    <row r="49" spans="1:34" ht="15.75" thickTop="1" x14ac:dyDescent="0.2">
      <c r="A49" s="114" t="s">
        <v>50</v>
      </c>
      <c r="B49" s="115"/>
      <c r="C49" s="115"/>
      <c r="D49" s="115"/>
      <c r="E49" s="116"/>
      <c r="F49" s="116"/>
      <c r="G49" s="115" t="s">
        <v>51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7"/>
    </row>
    <row r="50" spans="1:34" ht="15" x14ac:dyDescent="0.2">
      <c r="A50" s="118" t="s">
        <v>52</v>
      </c>
      <c r="B50" s="42"/>
      <c r="C50" s="119"/>
      <c r="D50" s="120"/>
      <c r="E50" s="121"/>
      <c r="F50" s="120"/>
      <c r="G50" s="122" t="s">
        <v>53</v>
      </c>
      <c r="H50" s="123">
        <v>4</v>
      </c>
      <c r="I50" s="124"/>
      <c r="J50" s="124"/>
      <c r="K50" s="124"/>
      <c r="L50" s="124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4"/>
      <c r="AC50" s="122"/>
      <c r="AD50" s="122"/>
      <c r="AE50" s="124"/>
      <c r="AF50" s="125"/>
      <c r="AG50" s="126" t="s">
        <v>54</v>
      </c>
      <c r="AH50" s="127">
        <f>COUNTIF(F24:F47,"ЗМС")</f>
        <v>0</v>
      </c>
    </row>
    <row r="51" spans="1:34" ht="15" x14ac:dyDescent="0.2">
      <c r="A51" s="118" t="s">
        <v>55</v>
      </c>
      <c r="B51" s="42"/>
      <c r="C51" s="128"/>
      <c r="D51" s="120"/>
      <c r="E51" s="121"/>
      <c r="F51" s="120"/>
      <c r="G51" s="122" t="s">
        <v>56</v>
      </c>
      <c r="H51" s="123">
        <f>H52+H56</f>
        <v>22</v>
      </c>
      <c r="I51" s="124"/>
      <c r="J51" s="124"/>
      <c r="K51" s="124"/>
      <c r="L51" s="124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4"/>
      <c r="AC51" s="122"/>
      <c r="AD51" s="122"/>
      <c r="AE51" s="124"/>
      <c r="AF51" s="125"/>
      <c r="AG51" s="126" t="s">
        <v>57</v>
      </c>
      <c r="AH51" s="127">
        <f>COUNTIF(F24:F47,"МСМК")</f>
        <v>0</v>
      </c>
    </row>
    <row r="52" spans="1:34" ht="15" x14ac:dyDescent="0.2">
      <c r="A52" s="118"/>
      <c r="B52" s="42"/>
      <c r="C52" s="120"/>
      <c r="D52" s="120"/>
      <c r="E52" s="121"/>
      <c r="F52" s="120"/>
      <c r="G52" s="122" t="s">
        <v>58</v>
      </c>
      <c r="H52" s="123">
        <f>H53+H54+H55</f>
        <v>22</v>
      </c>
      <c r="I52" s="124"/>
      <c r="J52" s="124"/>
      <c r="K52" s="124"/>
      <c r="L52" s="124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4"/>
      <c r="AC52" s="122"/>
      <c r="AD52" s="122"/>
      <c r="AE52" s="124"/>
      <c r="AF52" s="125"/>
      <c r="AG52" s="126" t="s">
        <v>47</v>
      </c>
      <c r="AH52" s="127">
        <f>COUNTIF(F24:F47,"МС")</f>
        <v>2</v>
      </c>
    </row>
    <row r="53" spans="1:34" ht="15" x14ac:dyDescent="0.2">
      <c r="A53" s="118"/>
      <c r="B53" s="42"/>
      <c r="C53" s="120"/>
      <c r="D53" s="120"/>
      <c r="E53" s="121"/>
      <c r="F53" s="120"/>
      <c r="G53" s="122" t="s">
        <v>59</v>
      </c>
      <c r="H53" s="123">
        <f>COUNT(A24:A47)</f>
        <v>20</v>
      </c>
      <c r="I53" s="124"/>
      <c r="J53" s="124"/>
      <c r="K53" s="124"/>
      <c r="L53" s="124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4"/>
      <c r="AC53" s="122"/>
      <c r="AD53" s="122"/>
      <c r="AE53" s="124"/>
      <c r="AF53" s="125"/>
      <c r="AG53" s="126" t="s">
        <v>48</v>
      </c>
      <c r="AH53" s="127">
        <f>COUNTIF(F24:F47,"КМС")</f>
        <v>14</v>
      </c>
    </row>
    <row r="54" spans="1:34" ht="15" x14ac:dyDescent="0.2">
      <c r="A54" s="129"/>
      <c r="B54" s="49"/>
      <c r="C54" s="123"/>
      <c r="D54" s="120"/>
      <c r="E54" s="121"/>
      <c r="F54" s="120"/>
      <c r="G54" s="122" t="s">
        <v>60</v>
      </c>
      <c r="H54" s="123">
        <f>COUNTIF(A24:A47,"НФ")</f>
        <v>2</v>
      </c>
      <c r="I54" s="124"/>
      <c r="J54" s="124"/>
      <c r="K54" s="124"/>
      <c r="L54" s="124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4"/>
      <c r="AC54" s="122"/>
      <c r="AD54" s="122"/>
      <c r="AE54" s="124"/>
      <c r="AF54" s="125"/>
      <c r="AG54" s="126" t="s">
        <v>61</v>
      </c>
      <c r="AH54" s="127">
        <f>COUNTIF(F24:F47,"1 СР")</f>
        <v>2</v>
      </c>
    </row>
    <row r="55" spans="1:34" ht="15" x14ac:dyDescent="0.2">
      <c r="A55" s="130"/>
      <c r="B55" s="42"/>
      <c r="C55" s="120"/>
      <c r="D55" s="120"/>
      <c r="E55" s="121"/>
      <c r="F55" s="120"/>
      <c r="G55" s="122" t="s">
        <v>62</v>
      </c>
      <c r="H55" s="123">
        <f>COUNTIF(A24:A47,"ДСКВ")</f>
        <v>0</v>
      </c>
      <c r="I55" s="124"/>
      <c r="J55" s="124"/>
      <c r="K55" s="124"/>
      <c r="L55" s="124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4"/>
      <c r="AC55" s="122"/>
      <c r="AD55" s="122"/>
      <c r="AE55" s="124"/>
      <c r="AF55" s="125"/>
      <c r="AG55" s="126" t="s">
        <v>63</v>
      </c>
      <c r="AH55" s="127">
        <f>COUNTIF(F24:F47,"2 СР")</f>
        <v>4</v>
      </c>
    </row>
    <row r="56" spans="1:34" ht="15" x14ac:dyDescent="0.2">
      <c r="A56" s="130"/>
      <c r="B56" s="42"/>
      <c r="C56" s="120"/>
      <c r="D56" s="120"/>
      <c r="E56" s="121"/>
      <c r="F56" s="120"/>
      <c r="G56" s="122" t="s">
        <v>64</v>
      </c>
      <c r="H56" s="123">
        <f>COUNTIF(A24:A47,"НС")</f>
        <v>0</v>
      </c>
      <c r="I56" s="124"/>
      <c r="J56" s="124"/>
      <c r="K56" s="124"/>
      <c r="L56" s="124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4"/>
      <c r="AC56" s="122"/>
      <c r="AD56" s="122"/>
      <c r="AE56" s="124"/>
      <c r="AF56" s="125"/>
      <c r="AG56" s="126" t="s">
        <v>65</v>
      </c>
      <c r="AH56" s="127">
        <f>COUNTIF(F24:F47,"3 СР")</f>
        <v>0</v>
      </c>
    </row>
    <row r="57" spans="1:34" x14ac:dyDescent="0.2">
      <c r="A57" s="129"/>
      <c r="B57" s="131"/>
      <c r="C57" s="131"/>
      <c r="D57" s="49"/>
      <c r="E57" s="132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133"/>
    </row>
    <row r="58" spans="1:34" ht="15.75" x14ac:dyDescent="0.2">
      <c r="A58" s="134" t="s">
        <v>66</v>
      </c>
      <c r="B58" s="135"/>
      <c r="C58" s="135"/>
      <c r="D58" s="135"/>
      <c r="E58" s="135"/>
      <c r="F58" s="135" t="s">
        <v>67</v>
      </c>
      <c r="G58" s="135"/>
      <c r="H58" s="135"/>
      <c r="I58" s="135"/>
      <c r="J58" s="135"/>
      <c r="K58" s="135"/>
      <c r="L58" s="135" t="s">
        <v>68</v>
      </c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 t="s">
        <v>69</v>
      </c>
      <c r="AC58" s="135"/>
      <c r="AD58" s="135"/>
      <c r="AE58" s="135"/>
      <c r="AF58" s="135"/>
      <c r="AG58" s="135"/>
      <c r="AH58" s="136"/>
    </row>
    <row r="59" spans="1:34" ht="15.75" x14ac:dyDescent="0.2">
      <c r="A59" s="137"/>
      <c r="B59" s="138"/>
      <c r="C59" s="138"/>
      <c r="D59" s="138"/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</row>
    <row r="60" spans="1:34" ht="15.75" x14ac:dyDescent="0.2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41"/>
    </row>
    <row r="61" spans="1:34" x14ac:dyDescent="0.2">
      <c r="A61" s="14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43"/>
      <c r="AC61" s="143"/>
      <c r="AD61" s="143"/>
      <c r="AE61" s="3"/>
      <c r="AF61" s="3"/>
      <c r="AG61" s="3"/>
      <c r="AH61" s="144"/>
    </row>
    <row r="62" spans="1:34" x14ac:dyDescent="0.2">
      <c r="A62" s="145"/>
      <c r="B62" s="143"/>
      <c r="C62" s="143"/>
      <c r="D62" s="143"/>
      <c r="E62" s="146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7"/>
    </row>
    <row r="63" spans="1:34" x14ac:dyDescent="0.2">
      <c r="A63" s="145"/>
      <c r="B63" s="143"/>
      <c r="C63" s="143"/>
      <c r="D63" s="143"/>
      <c r="E63" s="146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7"/>
    </row>
    <row r="64" spans="1:34" ht="16.5" thickBot="1" x14ac:dyDescent="0.25">
      <c r="A64" s="148" t="s">
        <v>2</v>
      </c>
      <c r="B64" s="149"/>
      <c r="C64" s="149"/>
      <c r="D64" s="149"/>
      <c r="E64" s="149"/>
      <c r="F64" s="149" t="str">
        <f>G17</f>
        <v>Михайлова И.Н. (ВК, Санкт-Петербург)</v>
      </c>
      <c r="G64" s="149"/>
      <c r="H64" s="149"/>
      <c r="I64" s="149"/>
      <c r="J64" s="149"/>
      <c r="K64" s="149"/>
      <c r="L64" s="149" t="str">
        <f>G18</f>
        <v>Валова А.С. (ВК, Санкт-Петербург)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 t="str">
        <f>G19</f>
        <v>Соловьев Г.Н. (ВК, Санкт-Петербург)</v>
      </c>
      <c r="AC64" s="149"/>
      <c r="AD64" s="149"/>
      <c r="AE64" s="149"/>
      <c r="AF64" s="149"/>
      <c r="AG64" s="149"/>
      <c r="AH64" s="150"/>
    </row>
    <row r="65" ht="13.5" thickTop="1" x14ac:dyDescent="0.2"/>
  </sheetData>
  <mergeCells count="49">
    <mergeCell ref="A61:E61"/>
    <mergeCell ref="F61:AA61"/>
    <mergeCell ref="AE61:AH61"/>
    <mergeCell ref="A64:E64"/>
    <mergeCell ref="F64:K64"/>
    <mergeCell ref="L64:AA64"/>
    <mergeCell ref="AB64:AH64"/>
    <mergeCell ref="A49:D49"/>
    <mergeCell ref="G49:AH49"/>
    <mergeCell ref="A58:E58"/>
    <mergeCell ref="F58:K58"/>
    <mergeCell ref="L58:AA58"/>
    <mergeCell ref="AB58:AH58"/>
    <mergeCell ref="AG21:AG23"/>
    <mergeCell ref="AH21:AH23"/>
    <mergeCell ref="H22:H23"/>
    <mergeCell ref="I22:I23"/>
    <mergeCell ref="J22:J23"/>
    <mergeCell ref="K22:AA22"/>
    <mergeCell ref="G21:G23"/>
    <mergeCell ref="H21:AA21"/>
    <mergeCell ref="AB21:AB23"/>
    <mergeCell ref="AC21:AD22"/>
    <mergeCell ref="AE21:AE23"/>
    <mergeCell ref="AF21:AF23"/>
    <mergeCell ref="A21:A23"/>
    <mergeCell ref="B21:B23"/>
    <mergeCell ref="C21:C23"/>
    <mergeCell ref="D21:D23"/>
    <mergeCell ref="E21:E23"/>
    <mergeCell ref="F21:F23"/>
    <mergeCell ref="A15:G15"/>
    <mergeCell ref="H15:AH15"/>
    <mergeCell ref="H16:AH16"/>
    <mergeCell ref="H17:AH17"/>
    <mergeCell ref="H18:AH18"/>
    <mergeCell ref="H19:R19"/>
    <mergeCell ref="A7:AH7"/>
    <mergeCell ref="A8:AH8"/>
    <mergeCell ref="A9:AH9"/>
    <mergeCell ref="A10:AH10"/>
    <mergeCell ref="A11:AH11"/>
    <mergeCell ref="A12:AH12"/>
    <mergeCell ref="A1:AH1"/>
    <mergeCell ref="A2:AH2"/>
    <mergeCell ref="A3:AH3"/>
    <mergeCell ref="A4:AH4"/>
    <mergeCell ref="A5:AH5"/>
    <mergeCell ref="A6:AH6"/>
  </mergeCells>
  <conditionalFormatting sqref="AB48:AD48 AB57:AD64 AC50:AD56 G50:G56 AB8:AD14 AB21 AB44:AB47 AB20:AD20">
    <cfRule type="expression" dxfId="0" priority="1" stopIfTrue="1">
      <formula>AND(COUNTIF($AB$48:$AD$48, G8)+COUNTIF($AB$57:$AD$64, G8)+COUNTIF($AC$50:$AD$56, G8)+COUNTIF($G$50:$G$56, G8)+COUNTIF($AB$8:$AD$14, G8)+COUNTIF($AB$21:$AB$21, G8)+COUNTIF($AB$44:$AB$47,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юниорки</vt:lpstr>
      <vt:lpstr>'Омниум итог юниорки'!Область_печати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2023-06-11T16:58:10Z</dcterms:created>
  <dcterms:modified xsi:type="dcterms:W3CDTF">2023-06-11T16:58:52Z</dcterms:modified>
</cp:coreProperties>
</file>